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 firstSheet="3" activeTab="5"/>
  </bookViews>
  <sheets>
    <sheet name="Basic Solar FM" sheetId="1" r:id="rId1"/>
    <sheet name="Basic Solar FM 2" sheetId="2" r:id="rId2"/>
    <sheet name="Basic Solar FM 3" sheetId="3" r:id="rId3"/>
    <sheet name="Basic Solar FM 4" sheetId="5" r:id="rId4"/>
    <sheet name="Sheet1" sheetId="4" r:id="rId5"/>
    <sheet name="Basic Solar FM 5 GIZ" sheetId="6" r:id="rId6"/>
    <sheet name="Drawdown" sheetId="7" r:id="rId7"/>
  </sheets>
  <externalReferences>
    <externalReference r:id="rId8"/>
  </externalReferences>
  <definedNames>
    <definedName name="Period">'[1]Basic Wind FM'!$F$3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6" l="1"/>
  <c r="I4" i="6"/>
  <c r="I5" i="6"/>
  <c r="I6" i="6"/>
  <c r="I7" i="6"/>
  <c r="I11" i="6"/>
  <c r="F38" i="7"/>
  <c r="G38" i="7"/>
  <c r="I38" i="7"/>
  <c r="J26" i="7"/>
  <c r="J38" i="7"/>
  <c r="K26" i="7"/>
  <c r="L38" i="7"/>
  <c r="M26" i="7"/>
  <c r="M38" i="7"/>
  <c r="N26" i="7"/>
  <c r="C16" i="7"/>
  <c r="F16" i="7"/>
  <c r="C17" i="7"/>
  <c r="F17" i="7"/>
  <c r="C18" i="7"/>
  <c r="F18" i="7"/>
  <c r="C19" i="7"/>
  <c r="F19" i="7"/>
  <c r="C20" i="7"/>
  <c r="F20" i="7"/>
  <c r="C21" i="7"/>
  <c r="F21" i="7"/>
  <c r="C22" i="7"/>
  <c r="F22" i="7"/>
  <c r="C5" i="6"/>
  <c r="C30" i="7"/>
  <c r="G16" i="7"/>
  <c r="G17" i="7"/>
  <c r="G18" i="7"/>
  <c r="G19" i="7"/>
  <c r="G20" i="7"/>
  <c r="G21" i="7"/>
  <c r="G22" i="7"/>
  <c r="H16" i="7"/>
  <c r="H17" i="7"/>
  <c r="H18" i="7"/>
  <c r="H19" i="7"/>
  <c r="H20" i="7"/>
  <c r="H21" i="7"/>
  <c r="H22" i="7"/>
  <c r="I16" i="7"/>
  <c r="I17" i="7"/>
  <c r="I18" i="7"/>
  <c r="I19" i="7"/>
  <c r="I20" i="7"/>
  <c r="I21" i="7"/>
  <c r="I22" i="7"/>
  <c r="J16" i="7"/>
  <c r="J17" i="7"/>
  <c r="J18" i="7"/>
  <c r="J19" i="7"/>
  <c r="J20" i="7"/>
  <c r="J21" i="7"/>
  <c r="J22" i="7"/>
  <c r="K16" i="7"/>
  <c r="K17" i="7"/>
  <c r="K18" i="7"/>
  <c r="K19" i="7"/>
  <c r="K20" i="7"/>
  <c r="K21" i="7"/>
  <c r="K22" i="7"/>
  <c r="L16" i="7"/>
  <c r="L17" i="7"/>
  <c r="L18" i="7"/>
  <c r="L19" i="7"/>
  <c r="L20" i="7"/>
  <c r="L21" i="7"/>
  <c r="L22" i="7"/>
  <c r="M16" i="7"/>
  <c r="M17" i="7"/>
  <c r="M18" i="7"/>
  <c r="M19" i="7"/>
  <c r="M20" i="7"/>
  <c r="M21" i="7"/>
  <c r="M22" i="7"/>
  <c r="N16" i="7"/>
  <c r="N17" i="7"/>
  <c r="N18" i="7"/>
  <c r="N19" i="7"/>
  <c r="N20" i="7"/>
  <c r="N21" i="7"/>
  <c r="N22" i="7"/>
  <c r="F36" i="7"/>
  <c r="E22" i="7"/>
  <c r="E21" i="7"/>
  <c r="E20" i="7"/>
  <c r="E19" i="7"/>
  <c r="E18" i="7"/>
  <c r="E17" i="7"/>
  <c r="E16" i="7"/>
  <c r="D8" i="7"/>
  <c r="D7" i="7"/>
  <c r="C11" i="6"/>
  <c r="L20" i="6"/>
  <c r="L22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E89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M17" i="6"/>
  <c r="M13" i="6"/>
  <c r="M15" i="6"/>
  <c r="I1" i="3"/>
  <c r="E7" i="4"/>
  <c r="H22" i="6"/>
  <c r="G20" i="6"/>
  <c r="H21" i="6"/>
  <c r="G21" i="6"/>
  <c r="I20" i="6"/>
  <c r="J19" i="6"/>
  <c r="H20" i="6"/>
  <c r="G22" i="6"/>
  <c r="I21" i="6"/>
  <c r="I22" i="6"/>
  <c r="I4" i="5"/>
  <c r="I5" i="5"/>
  <c r="I6" i="5"/>
  <c r="I7" i="5"/>
  <c r="M15" i="5"/>
  <c r="I9" i="5"/>
  <c r="I10" i="5"/>
  <c r="I11" i="5"/>
  <c r="C11" i="5"/>
  <c r="I12" i="5"/>
  <c r="I13" i="5"/>
  <c r="I15" i="5"/>
  <c r="L19" i="5"/>
  <c r="L20" i="5"/>
  <c r="L23" i="5"/>
  <c r="F3" i="5"/>
  <c r="F1" i="5"/>
  <c r="H1" i="5"/>
  <c r="I1" i="5"/>
  <c r="B66" i="5"/>
  <c r="B67" i="5"/>
  <c r="B68" i="5"/>
  <c r="B69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B21" i="5"/>
  <c r="B22" i="5"/>
  <c r="B23" i="5"/>
  <c r="M17" i="5"/>
  <c r="C5" i="5"/>
  <c r="F6" i="5"/>
  <c r="I99" i="3"/>
  <c r="H1" i="3"/>
  <c r="L22" i="3"/>
  <c r="H20" i="5"/>
  <c r="H21" i="5"/>
  <c r="I20" i="5"/>
  <c r="G21" i="5"/>
  <c r="G20" i="5"/>
  <c r="J19" i="5"/>
  <c r="I21" i="5"/>
  <c r="B70" i="5"/>
  <c r="B24" i="5"/>
  <c r="I22" i="5"/>
  <c r="G22" i="5"/>
  <c r="H22" i="5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B66" i="3"/>
  <c r="B67" i="3"/>
  <c r="B21" i="3"/>
  <c r="B22" i="3"/>
  <c r="B23" i="3"/>
  <c r="B24" i="3"/>
  <c r="M17" i="3"/>
  <c r="M13" i="3"/>
  <c r="M15" i="3"/>
  <c r="C11" i="3"/>
  <c r="I6" i="3"/>
  <c r="C5" i="3"/>
  <c r="F6" i="3"/>
  <c r="I24" i="3"/>
  <c r="I4" i="2"/>
  <c r="I5" i="2"/>
  <c r="I6" i="2"/>
  <c r="I7" i="2"/>
  <c r="M13" i="2"/>
  <c r="M15" i="2"/>
  <c r="I9" i="2"/>
  <c r="I11" i="2"/>
  <c r="C11" i="2"/>
  <c r="I12" i="2"/>
  <c r="I13" i="2"/>
  <c r="I15" i="2"/>
  <c r="F19" i="2"/>
  <c r="F11" i="2"/>
  <c r="F12" i="2"/>
  <c r="J21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F13" i="2"/>
  <c r="H1" i="2"/>
  <c r="F6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65" i="2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F19" i="1"/>
  <c r="F11" i="1"/>
  <c r="F12" i="1"/>
  <c r="F13" i="1"/>
  <c r="H1" i="1"/>
  <c r="F6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65" i="1"/>
  <c r="R8" i="2"/>
  <c r="R9" i="2"/>
  <c r="R10" i="2"/>
  <c r="R11" i="2"/>
  <c r="R12" i="2"/>
  <c r="R13" i="2"/>
  <c r="T5" i="2"/>
  <c r="U5" i="2"/>
  <c r="T6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L22" i="2"/>
  <c r="E21" i="2"/>
  <c r="B21" i="2"/>
  <c r="L20" i="2"/>
  <c r="D20" i="2"/>
  <c r="M17" i="2"/>
  <c r="J20" i="2"/>
  <c r="F9" i="2"/>
  <c r="C5" i="2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H17" i="1"/>
  <c r="E84" i="1"/>
  <c r="M84" i="1"/>
  <c r="E85" i="1"/>
  <c r="M85" i="1"/>
  <c r="E86" i="1"/>
  <c r="M86" i="1"/>
  <c r="E87" i="1"/>
  <c r="M87" i="1"/>
  <c r="E88" i="1"/>
  <c r="M88" i="1"/>
  <c r="D84" i="1"/>
  <c r="D85" i="1"/>
  <c r="L85" i="1"/>
  <c r="D86" i="1"/>
  <c r="L86" i="1"/>
  <c r="D87" i="1"/>
  <c r="L87" i="1"/>
  <c r="D88" i="1"/>
  <c r="L22" i="1"/>
  <c r="L20" i="1"/>
  <c r="M17" i="1"/>
  <c r="M13" i="1"/>
  <c r="M15" i="1"/>
  <c r="I9" i="1"/>
  <c r="I24" i="6"/>
  <c r="H24" i="6"/>
  <c r="G24" i="6"/>
  <c r="B71" i="5"/>
  <c r="H24" i="5"/>
  <c r="G24" i="5"/>
  <c r="B25" i="5"/>
  <c r="I24" i="5"/>
  <c r="H21" i="3"/>
  <c r="G22" i="3"/>
  <c r="H24" i="3"/>
  <c r="B25" i="3"/>
  <c r="H20" i="3"/>
  <c r="J19" i="3"/>
  <c r="G21" i="3"/>
  <c r="G20" i="3"/>
  <c r="H22" i="3"/>
  <c r="I21" i="3"/>
  <c r="I7" i="3"/>
  <c r="I20" i="3"/>
  <c r="G24" i="3"/>
  <c r="I22" i="3"/>
  <c r="B68" i="3"/>
  <c r="L88" i="1"/>
  <c r="L84" i="1"/>
  <c r="E23" i="2"/>
  <c r="E22" i="2"/>
  <c r="H21" i="2"/>
  <c r="I20" i="2"/>
  <c r="J19" i="2"/>
  <c r="H20" i="2"/>
  <c r="G20" i="2"/>
  <c r="I21" i="2"/>
  <c r="K17" i="2"/>
  <c r="J17" i="2"/>
  <c r="G21" i="2"/>
  <c r="H17" i="2"/>
  <c r="B22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20" i="2"/>
  <c r="C20" i="2"/>
  <c r="F20" i="2"/>
  <c r="E24" i="2"/>
  <c r="E25" i="2"/>
  <c r="E26" i="2"/>
  <c r="E27" i="2"/>
  <c r="E28" i="2"/>
  <c r="E29" i="2"/>
  <c r="E30" i="2"/>
  <c r="E31" i="2"/>
  <c r="J19" i="1"/>
  <c r="I6" i="1"/>
  <c r="I4" i="1"/>
  <c r="I5" i="1"/>
  <c r="B21" i="1"/>
  <c r="B22" i="1"/>
  <c r="B23" i="1"/>
  <c r="C11" i="1"/>
  <c r="H22" i="1"/>
  <c r="G22" i="1"/>
  <c r="I21" i="1"/>
  <c r="H21" i="1"/>
  <c r="G21" i="1"/>
  <c r="I20" i="1"/>
  <c r="H20" i="1"/>
  <c r="G20" i="1"/>
  <c r="C5" i="1"/>
  <c r="I25" i="6"/>
  <c r="H25" i="6"/>
  <c r="G25" i="6"/>
  <c r="H25" i="5"/>
  <c r="B26" i="5"/>
  <c r="I25" i="5"/>
  <c r="G25" i="5"/>
  <c r="B72" i="5"/>
  <c r="I15" i="3"/>
  <c r="H25" i="3"/>
  <c r="G25" i="3"/>
  <c r="I25" i="3"/>
  <c r="B26" i="3"/>
  <c r="B69" i="3"/>
  <c r="L19" i="2"/>
  <c r="L23" i="2"/>
  <c r="F3" i="2"/>
  <c r="D21" i="2"/>
  <c r="C21" i="2"/>
  <c r="F21" i="2"/>
  <c r="H22" i="2"/>
  <c r="B23" i="2"/>
  <c r="G22" i="2"/>
  <c r="I22" i="2"/>
  <c r="I7" i="1"/>
  <c r="I11" i="1"/>
  <c r="I22" i="1"/>
  <c r="B24" i="1"/>
  <c r="I26" i="6"/>
  <c r="H26" i="6"/>
  <c r="G26" i="6"/>
  <c r="H26" i="5"/>
  <c r="G26" i="5"/>
  <c r="B27" i="5"/>
  <c r="I26" i="5"/>
  <c r="B73" i="5"/>
  <c r="L19" i="3"/>
  <c r="L23" i="3"/>
  <c r="F3" i="3"/>
  <c r="C3" i="3"/>
  <c r="B70" i="3"/>
  <c r="H26" i="3"/>
  <c r="B27" i="3"/>
  <c r="I26" i="3"/>
  <c r="G26" i="3"/>
  <c r="J16" i="2"/>
  <c r="D22" i="2"/>
  <c r="C22" i="2"/>
  <c r="F22" i="2"/>
  <c r="B24" i="2"/>
  <c r="I23" i="2"/>
  <c r="C87" i="2"/>
  <c r="C83" i="2"/>
  <c r="C79" i="2"/>
  <c r="C75" i="2"/>
  <c r="C71" i="2"/>
  <c r="C67" i="2"/>
  <c r="C86" i="2"/>
  <c r="C82" i="2"/>
  <c r="C78" i="2"/>
  <c r="C74" i="2"/>
  <c r="C70" i="2"/>
  <c r="C88" i="2"/>
  <c r="C84" i="2"/>
  <c r="C80" i="2"/>
  <c r="C76" i="2"/>
  <c r="C72" i="2"/>
  <c r="C89" i="2"/>
  <c r="C73" i="2"/>
  <c r="C85" i="2"/>
  <c r="C69" i="2"/>
  <c r="C65" i="2"/>
  <c r="C81" i="2"/>
  <c r="C66" i="2"/>
  <c r="C68" i="2"/>
  <c r="C77" i="2"/>
  <c r="B25" i="1"/>
  <c r="I24" i="1"/>
  <c r="H24" i="1"/>
  <c r="G24" i="1"/>
  <c r="B28" i="5"/>
  <c r="B74" i="5"/>
  <c r="F19" i="3"/>
  <c r="F11" i="3"/>
  <c r="F12" i="3"/>
  <c r="F9" i="3"/>
  <c r="B71" i="3"/>
  <c r="B28" i="3"/>
  <c r="C87" i="3"/>
  <c r="C83" i="3"/>
  <c r="C79" i="3"/>
  <c r="C75" i="3"/>
  <c r="C71" i="3"/>
  <c r="C89" i="3"/>
  <c r="C85" i="3"/>
  <c r="C81" i="3"/>
  <c r="C77" i="3"/>
  <c r="C73" i="3"/>
  <c r="C69" i="3"/>
  <c r="C88" i="3"/>
  <c r="C84" i="3"/>
  <c r="C86" i="3"/>
  <c r="C74" i="3"/>
  <c r="C66" i="3"/>
  <c r="C82" i="3"/>
  <c r="C80" i="3"/>
  <c r="C72" i="3"/>
  <c r="C70" i="3"/>
  <c r="C68" i="3"/>
  <c r="C78" i="3"/>
  <c r="C65" i="3"/>
  <c r="C67" i="3"/>
  <c r="C76" i="3"/>
  <c r="D23" i="2"/>
  <c r="K66" i="2"/>
  <c r="K76" i="2"/>
  <c r="K86" i="2"/>
  <c r="K79" i="2"/>
  <c r="K73" i="2"/>
  <c r="K74" i="2"/>
  <c r="B25" i="2"/>
  <c r="I24" i="2"/>
  <c r="H24" i="2"/>
  <c r="G24" i="2"/>
  <c r="K77" i="2"/>
  <c r="K65" i="2"/>
  <c r="K89" i="2"/>
  <c r="K84" i="2"/>
  <c r="K78" i="2"/>
  <c r="K71" i="2"/>
  <c r="K87" i="2"/>
  <c r="K85" i="2"/>
  <c r="K70" i="2"/>
  <c r="K81" i="2"/>
  <c r="K80" i="2"/>
  <c r="K67" i="2"/>
  <c r="K83" i="2"/>
  <c r="K68" i="2"/>
  <c r="K69" i="2"/>
  <c r="K72" i="2"/>
  <c r="K88" i="2"/>
  <c r="K82" i="2"/>
  <c r="K75" i="2"/>
  <c r="B26" i="1"/>
  <c r="I25" i="1"/>
  <c r="G25" i="1"/>
  <c r="H25" i="1"/>
  <c r="I28" i="6"/>
  <c r="H28" i="6"/>
  <c r="G28" i="6"/>
  <c r="B75" i="5"/>
  <c r="H28" i="5"/>
  <c r="G28" i="5"/>
  <c r="B29" i="5"/>
  <c r="I28" i="5"/>
  <c r="J20" i="3"/>
  <c r="H17" i="3"/>
  <c r="E23" i="3"/>
  <c r="E56" i="3"/>
  <c r="E52" i="3"/>
  <c r="E44" i="3"/>
  <c r="E36" i="3"/>
  <c r="E28" i="3"/>
  <c r="D20" i="3"/>
  <c r="E37" i="3"/>
  <c r="E20" i="3"/>
  <c r="E31" i="3"/>
  <c r="E47" i="3"/>
  <c r="E58" i="3"/>
  <c r="E54" i="3"/>
  <c r="E48" i="3"/>
  <c r="E40" i="3"/>
  <c r="E24" i="3"/>
  <c r="E45" i="3"/>
  <c r="E39" i="3"/>
  <c r="E53" i="3"/>
  <c r="E46" i="3"/>
  <c r="E38" i="3"/>
  <c r="E21" i="3"/>
  <c r="E33" i="3"/>
  <c r="E49" i="3"/>
  <c r="E59" i="3"/>
  <c r="E55" i="3"/>
  <c r="E50" i="3"/>
  <c r="E42" i="3"/>
  <c r="E34" i="3"/>
  <c r="E26" i="3"/>
  <c r="E25" i="3"/>
  <c r="E41" i="3"/>
  <c r="E22" i="3"/>
  <c r="E35" i="3"/>
  <c r="E51" i="3"/>
  <c r="E32" i="3"/>
  <c r="E29" i="3"/>
  <c r="E57" i="3"/>
  <c r="E30" i="3"/>
  <c r="E27" i="3"/>
  <c r="E43" i="3"/>
  <c r="J17" i="3"/>
  <c r="K17" i="3"/>
  <c r="K65" i="3"/>
  <c r="K72" i="3"/>
  <c r="K74" i="3"/>
  <c r="K69" i="3"/>
  <c r="K85" i="3"/>
  <c r="K79" i="3"/>
  <c r="K78" i="3"/>
  <c r="K80" i="3"/>
  <c r="K86" i="3"/>
  <c r="K73" i="3"/>
  <c r="K89" i="3"/>
  <c r="K83" i="3"/>
  <c r="H28" i="3"/>
  <c r="B29" i="3"/>
  <c r="G28" i="3"/>
  <c r="I28" i="3"/>
  <c r="K76" i="3"/>
  <c r="K68" i="3"/>
  <c r="K82" i="3"/>
  <c r="K84" i="3"/>
  <c r="K77" i="3"/>
  <c r="K71" i="3"/>
  <c r="K87" i="3"/>
  <c r="B72" i="3"/>
  <c r="K67" i="3"/>
  <c r="K70" i="3"/>
  <c r="K66" i="3"/>
  <c r="K88" i="3"/>
  <c r="K81" i="3"/>
  <c r="K75" i="3"/>
  <c r="B26" i="2"/>
  <c r="I25" i="2"/>
  <c r="H25" i="2"/>
  <c r="G25" i="2"/>
  <c r="C23" i="2"/>
  <c r="H23" i="2"/>
  <c r="B27" i="1"/>
  <c r="G26" i="1"/>
  <c r="H26" i="1"/>
  <c r="I26" i="1"/>
  <c r="I29" i="6"/>
  <c r="H29" i="6"/>
  <c r="G29" i="6"/>
  <c r="B76" i="5"/>
  <c r="E75" i="5"/>
  <c r="M75" i="5"/>
  <c r="D75" i="5"/>
  <c r="H29" i="5"/>
  <c r="B30" i="5"/>
  <c r="I29" i="5"/>
  <c r="G29" i="5"/>
  <c r="F13" i="3"/>
  <c r="J16" i="3"/>
  <c r="I23" i="3"/>
  <c r="C20" i="3"/>
  <c r="F20" i="3"/>
  <c r="D21" i="3"/>
  <c r="C21" i="3"/>
  <c r="I27" i="3"/>
  <c r="B73" i="3"/>
  <c r="H29" i="3"/>
  <c r="G29" i="3"/>
  <c r="I29" i="3"/>
  <c r="B30" i="3"/>
  <c r="G23" i="2"/>
  <c r="F23" i="2"/>
  <c r="B27" i="2"/>
  <c r="I26" i="2"/>
  <c r="H26" i="2"/>
  <c r="G26" i="2"/>
  <c r="B28" i="1"/>
  <c r="I30" i="6"/>
  <c r="H30" i="6"/>
  <c r="G30" i="6"/>
  <c r="H30" i="5"/>
  <c r="G30" i="5"/>
  <c r="B31" i="5"/>
  <c r="I30" i="5"/>
  <c r="E76" i="5"/>
  <c r="M76" i="5"/>
  <c r="B77" i="5"/>
  <c r="D76" i="5"/>
  <c r="F21" i="3"/>
  <c r="D22" i="3"/>
  <c r="B74" i="3"/>
  <c r="H30" i="3"/>
  <c r="B31" i="3"/>
  <c r="I30" i="3"/>
  <c r="G30" i="3"/>
  <c r="B28" i="2"/>
  <c r="I27" i="2"/>
  <c r="D24" i="2"/>
  <c r="C24" i="2"/>
  <c r="F24" i="2"/>
  <c r="B29" i="1"/>
  <c r="G28" i="1"/>
  <c r="H28" i="1"/>
  <c r="I28" i="1"/>
  <c r="M75" i="6"/>
  <c r="E77" i="5"/>
  <c r="M77" i="5"/>
  <c r="B78" i="5"/>
  <c r="D77" i="5"/>
  <c r="B32" i="5"/>
  <c r="B75" i="3"/>
  <c r="C22" i="3"/>
  <c r="I31" i="3"/>
  <c r="B32" i="3"/>
  <c r="D25" i="2"/>
  <c r="C25" i="2"/>
  <c r="F25" i="2"/>
  <c r="B29" i="2"/>
  <c r="I28" i="2"/>
  <c r="H28" i="2"/>
  <c r="G28" i="2"/>
  <c r="B30" i="1"/>
  <c r="H29" i="1"/>
  <c r="G29" i="1"/>
  <c r="I29" i="1"/>
  <c r="M76" i="6"/>
  <c r="I32" i="6"/>
  <c r="H32" i="6"/>
  <c r="G32" i="6"/>
  <c r="D78" i="5"/>
  <c r="B79" i="5"/>
  <c r="E78" i="5"/>
  <c r="M78" i="5"/>
  <c r="H32" i="5"/>
  <c r="G32" i="5"/>
  <c r="B33" i="5"/>
  <c r="I32" i="5"/>
  <c r="F22" i="3"/>
  <c r="B76" i="3"/>
  <c r="E75" i="3"/>
  <c r="M75" i="3"/>
  <c r="D75" i="3"/>
  <c r="H32" i="3"/>
  <c r="B33" i="3"/>
  <c r="G32" i="3"/>
  <c r="I32" i="3"/>
  <c r="B30" i="2"/>
  <c r="I29" i="2"/>
  <c r="H29" i="2"/>
  <c r="G29" i="2"/>
  <c r="D26" i="2"/>
  <c r="B31" i="1"/>
  <c r="I30" i="1"/>
  <c r="H30" i="1"/>
  <c r="G30" i="1"/>
  <c r="M77" i="6"/>
  <c r="I33" i="6"/>
  <c r="H33" i="6"/>
  <c r="G33" i="6"/>
  <c r="H33" i="5"/>
  <c r="B34" i="5"/>
  <c r="I33" i="5"/>
  <c r="G33" i="5"/>
  <c r="B80" i="5"/>
  <c r="D79" i="5"/>
  <c r="E79" i="5"/>
  <c r="M79" i="5"/>
  <c r="H33" i="3"/>
  <c r="G33" i="3"/>
  <c r="I33" i="3"/>
  <c r="B34" i="3"/>
  <c r="D76" i="3"/>
  <c r="B77" i="3"/>
  <c r="E76" i="3"/>
  <c r="M76" i="3"/>
  <c r="D23" i="3"/>
  <c r="C26" i="2"/>
  <c r="B31" i="2"/>
  <c r="I30" i="2"/>
  <c r="H30" i="2"/>
  <c r="G30" i="2"/>
  <c r="D75" i="2"/>
  <c r="E75" i="2"/>
  <c r="M75" i="2"/>
  <c r="B32" i="1"/>
  <c r="I34" i="6"/>
  <c r="H34" i="6"/>
  <c r="G34" i="6"/>
  <c r="M78" i="6"/>
  <c r="B81" i="5"/>
  <c r="D80" i="5"/>
  <c r="E80" i="5"/>
  <c r="M80" i="5"/>
  <c r="H34" i="5"/>
  <c r="G34" i="5"/>
  <c r="B35" i="5"/>
  <c r="I34" i="5"/>
  <c r="E77" i="3"/>
  <c r="M77" i="3"/>
  <c r="B78" i="3"/>
  <c r="D77" i="3"/>
  <c r="C23" i="3"/>
  <c r="H23" i="3"/>
  <c r="H34" i="3"/>
  <c r="B35" i="3"/>
  <c r="I34" i="3"/>
  <c r="G34" i="3"/>
  <c r="F26" i="2"/>
  <c r="E76" i="2"/>
  <c r="M76" i="2"/>
  <c r="D76" i="2"/>
  <c r="I31" i="2"/>
  <c r="B32" i="2"/>
  <c r="D75" i="1"/>
  <c r="E75" i="1"/>
  <c r="M75" i="1"/>
  <c r="B33" i="1"/>
  <c r="I32" i="1"/>
  <c r="H32" i="1"/>
  <c r="G32" i="1"/>
  <c r="M79" i="6"/>
  <c r="E81" i="5"/>
  <c r="M81" i="5"/>
  <c r="B82" i="5"/>
  <c r="D81" i="5"/>
  <c r="B36" i="5"/>
  <c r="D78" i="3"/>
  <c r="B79" i="3"/>
  <c r="E78" i="3"/>
  <c r="M78" i="3"/>
  <c r="G23" i="3"/>
  <c r="F23" i="3"/>
  <c r="I35" i="3"/>
  <c r="B36" i="3"/>
  <c r="I32" i="2"/>
  <c r="H32" i="2"/>
  <c r="G32" i="2"/>
  <c r="B33" i="2"/>
  <c r="D27" i="2"/>
  <c r="E77" i="2"/>
  <c r="M77" i="2"/>
  <c r="D77" i="2"/>
  <c r="B34" i="1"/>
  <c r="I33" i="1"/>
  <c r="G33" i="1"/>
  <c r="H33" i="1"/>
  <c r="E76" i="1"/>
  <c r="M76" i="1"/>
  <c r="D76" i="1"/>
  <c r="I36" i="6"/>
  <c r="H36" i="6"/>
  <c r="G36" i="6"/>
  <c r="M80" i="6"/>
  <c r="H36" i="5"/>
  <c r="G36" i="5"/>
  <c r="B37" i="5"/>
  <c r="I36" i="5"/>
  <c r="D82" i="5"/>
  <c r="B83" i="5"/>
  <c r="E82" i="5"/>
  <c r="M82" i="5"/>
  <c r="B80" i="3"/>
  <c r="E79" i="3"/>
  <c r="M79" i="3"/>
  <c r="D79" i="3"/>
  <c r="H36" i="3"/>
  <c r="B37" i="3"/>
  <c r="G36" i="3"/>
  <c r="I36" i="3"/>
  <c r="D24" i="3"/>
  <c r="C27" i="2"/>
  <c r="H27" i="2"/>
  <c r="D78" i="2"/>
  <c r="E78" i="2"/>
  <c r="M78" i="2"/>
  <c r="I33" i="2"/>
  <c r="B34" i="2"/>
  <c r="H33" i="2"/>
  <c r="G33" i="2"/>
  <c r="D77" i="1"/>
  <c r="E77" i="1"/>
  <c r="M77" i="1"/>
  <c r="B35" i="1"/>
  <c r="G34" i="1"/>
  <c r="H34" i="1"/>
  <c r="I34" i="1"/>
  <c r="I37" i="6"/>
  <c r="H37" i="6"/>
  <c r="G37" i="6"/>
  <c r="M81" i="6"/>
  <c r="B84" i="5"/>
  <c r="E83" i="5"/>
  <c r="M83" i="5"/>
  <c r="D83" i="5"/>
  <c r="H37" i="5"/>
  <c r="B38" i="5"/>
  <c r="I37" i="5"/>
  <c r="G37" i="5"/>
  <c r="C24" i="3"/>
  <c r="H37" i="3"/>
  <c r="G37" i="3"/>
  <c r="I37" i="3"/>
  <c r="B38" i="3"/>
  <c r="D80" i="3"/>
  <c r="B81" i="3"/>
  <c r="E80" i="3"/>
  <c r="M80" i="3"/>
  <c r="G27" i="2"/>
  <c r="F27" i="2"/>
  <c r="D79" i="2"/>
  <c r="E79" i="2"/>
  <c r="M79" i="2"/>
  <c r="I34" i="2"/>
  <c r="H34" i="2"/>
  <c r="G34" i="2"/>
  <c r="B35" i="2"/>
  <c r="B36" i="1"/>
  <c r="E78" i="1"/>
  <c r="M78" i="1"/>
  <c r="D78" i="1"/>
  <c r="M82" i="6"/>
  <c r="I38" i="6"/>
  <c r="H38" i="6"/>
  <c r="G38" i="6"/>
  <c r="H38" i="5"/>
  <c r="G38" i="5"/>
  <c r="B39" i="5"/>
  <c r="I38" i="5"/>
  <c r="D84" i="5"/>
  <c r="E84" i="5"/>
  <c r="M84" i="5"/>
  <c r="B85" i="5"/>
  <c r="F24" i="3"/>
  <c r="E81" i="3"/>
  <c r="M81" i="3"/>
  <c r="B82" i="3"/>
  <c r="D81" i="3"/>
  <c r="E65" i="3"/>
  <c r="M65" i="3"/>
  <c r="H38" i="3"/>
  <c r="D65" i="3"/>
  <c r="B39" i="3"/>
  <c r="I38" i="3"/>
  <c r="G38" i="3"/>
  <c r="D28" i="2"/>
  <c r="I35" i="2"/>
  <c r="B36" i="2"/>
  <c r="E80" i="2"/>
  <c r="M80" i="2"/>
  <c r="D80" i="2"/>
  <c r="B37" i="1"/>
  <c r="G36" i="1"/>
  <c r="H36" i="1"/>
  <c r="I36" i="1"/>
  <c r="D79" i="1"/>
  <c r="E79" i="1"/>
  <c r="M79" i="1"/>
  <c r="M83" i="6"/>
  <c r="E85" i="5"/>
  <c r="M85" i="5"/>
  <c r="B86" i="5"/>
  <c r="D85" i="5"/>
  <c r="B40" i="5"/>
  <c r="D25" i="3"/>
  <c r="I39" i="3"/>
  <c r="B40" i="3"/>
  <c r="D82" i="3"/>
  <c r="E82" i="3"/>
  <c r="M82" i="3"/>
  <c r="B83" i="3"/>
  <c r="I36" i="2"/>
  <c r="H36" i="2"/>
  <c r="G36" i="2"/>
  <c r="B37" i="2"/>
  <c r="E81" i="2"/>
  <c r="M81" i="2"/>
  <c r="D81" i="2"/>
  <c r="C28" i="2"/>
  <c r="E80" i="1"/>
  <c r="M80" i="1"/>
  <c r="D80" i="1"/>
  <c r="B38" i="1"/>
  <c r="H37" i="1"/>
  <c r="G37" i="1"/>
  <c r="I37" i="1"/>
  <c r="M84" i="6"/>
  <c r="I40" i="6"/>
  <c r="H40" i="6"/>
  <c r="G40" i="6"/>
  <c r="H40" i="5"/>
  <c r="G40" i="5"/>
  <c r="B41" i="5"/>
  <c r="I40" i="5"/>
  <c r="D86" i="5"/>
  <c r="B87" i="5"/>
  <c r="E86" i="5"/>
  <c r="M86" i="5"/>
  <c r="H40" i="3"/>
  <c r="B41" i="3"/>
  <c r="G40" i="3"/>
  <c r="I40" i="3"/>
  <c r="B84" i="3"/>
  <c r="E83" i="3"/>
  <c r="M83" i="3"/>
  <c r="D83" i="3"/>
  <c r="C25" i="3"/>
  <c r="I37" i="2"/>
  <c r="B38" i="2"/>
  <c r="H37" i="2"/>
  <c r="G37" i="2"/>
  <c r="F28" i="2"/>
  <c r="D82" i="2"/>
  <c r="E82" i="2"/>
  <c r="M82" i="2"/>
  <c r="D81" i="1"/>
  <c r="E81" i="1"/>
  <c r="M81" i="1"/>
  <c r="B39" i="1"/>
  <c r="I38" i="1"/>
  <c r="H38" i="1"/>
  <c r="G38" i="1"/>
  <c r="I41" i="6"/>
  <c r="H41" i="6"/>
  <c r="G41" i="6"/>
  <c r="M85" i="6"/>
  <c r="H41" i="5"/>
  <c r="B42" i="5"/>
  <c r="I41" i="5"/>
  <c r="G41" i="5"/>
  <c r="B88" i="5"/>
  <c r="E87" i="5"/>
  <c r="M87" i="5"/>
  <c r="D87" i="5"/>
  <c r="D84" i="3"/>
  <c r="B85" i="3"/>
  <c r="E84" i="3"/>
  <c r="M84" i="3"/>
  <c r="F25" i="3"/>
  <c r="H41" i="3"/>
  <c r="G41" i="3"/>
  <c r="I41" i="3"/>
  <c r="B42" i="3"/>
  <c r="D83" i="2"/>
  <c r="E83" i="2"/>
  <c r="M83" i="2"/>
  <c r="D29" i="2"/>
  <c r="D65" i="2"/>
  <c r="I38" i="2"/>
  <c r="H38" i="2"/>
  <c r="G38" i="2"/>
  <c r="E65" i="2"/>
  <c r="M65" i="2"/>
  <c r="B39" i="2"/>
  <c r="D66" i="2"/>
  <c r="E66" i="2"/>
  <c r="M66" i="2"/>
  <c r="B40" i="1"/>
  <c r="E82" i="1"/>
  <c r="M82" i="1"/>
  <c r="D82" i="1"/>
  <c r="M86" i="6"/>
  <c r="I42" i="6"/>
  <c r="H42" i="6"/>
  <c r="G42" i="6"/>
  <c r="H42" i="5"/>
  <c r="G42" i="5"/>
  <c r="B43" i="5"/>
  <c r="I42" i="5"/>
  <c r="D88" i="5"/>
  <c r="E88" i="5"/>
  <c r="M88" i="5"/>
  <c r="B89" i="5"/>
  <c r="H42" i="3"/>
  <c r="B43" i="3"/>
  <c r="I42" i="3"/>
  <c r="G42" i="3"/>
  <c r="E85" i="3"/>
  <c r="M85" i="3"/>
  <c r="B86" i="3"/>
  <c r="D85" i="3"/>
  <c r="D26" i="3"/>
  <c r="C29" i="2"/>
  <c r="I39" i="2"/>
  <c r="B40" i="2"/>
  <c r="E84" i="2"/>
  <c r="M84" i="2"/>
  <c r="D84" i="2"/>
  <c r="D83" i="1"/>
  <c r="E83" i="1"/>
  <c r="M83" i="1"/>
  <c r="B41" i="1"/>
  <c r="I40" i="1"/>
  <c r="H40" i="1"/>
  <c r="G40" i="1"/>
  <c r="M87" i="6"/>
  <c r="E89" i="5"/>
  <c r="M89" i="5"/>
  <c r="D89" i="5"/>
  <c r="B44" i="5"/>
  <c r="D86" i="3"/>
  <c r="E86" i="3"/>
  <c r="M86" i="3"/>
  <c r="B87" i="3"/>
  <c r="C26" i="3"/>
  <c r="I43" i="3"/>
  <c r="B44" i="3"/>
  <c r="I40" i="2"/>
  <c r="H40" i="2"/>
  <c r="G40" i="2"/>
  <c r="B41" i="2"/>
  <c r="E85" i="2"/>
  <c r="M85" i="2"/>
  <c r="D85" i="2"/>
  <c r="F29" i="2"/>
  <c r="I41" i="1"/>
  <c r="B42" i="1"/>
  <c r="G41" i="1"/>
  <c r="H41" i="1"/>
  <c r="E89" i="1"/>
  <c r="M89" i="1"/>
  <c r="D89" i="1"/>
  <c r="I44" i="6"/>
  <c r="H44" i="6"/>
  <c r="G44" i="6"/>
  <c r="M88" i="6"/>
  <c r="H44" i="5"/>
  <c r="G44" i="5"/>
  <c r="B45" i="5"/>
  <c r="I44" i="5"/>
  <c r="F26" i="3"/>
  <c r="H44" i="3"/>
  <c r="B45" i="3"/>
  <c r="G44" i="3"/>
  <c r="I44" i="3"/>
  <c r="B88" i="3"/>
  <c r="E87" i="3"/>
  <c r="M87" i="3"/>
  <c r="D87" i="3"/>
  <c r="I41" i="2"/>
  <c r="B42" i="2"/>
  <c r="H41" i="2"/>
  <c r="G41" i="2"/>
  <c r="D30" i="2"/>
  <c r="D86" i="2"/>
  <c r="E86" i="2"/>
  <c r="M86" i="2"/>
  <c r="B43" i="1"/>
  <c r="H42" i="1"/>
  <c r="I42" i="1"/>
  <c r="G42" i="1"/>
  <c r="M89" i="6"/>
  <c r="I45" i="6"/>
  <c r="H45" i="6"/>
  <c r="G45" i="6"/>
  <c r="H45" i="5"/>
  <c r="B46" i="5"/>
  <c r="I45" i="5"/>
  <c r="G45" i="5"/>
  <c r="D27" i="3"/>
  <c r="H45" i="3"/>
  <c r="G45" i="3"/>
  <c r="I45" i="3"/>
  <c r="B46" i="3"/>
  <c r="D88" i="3"/>
  <c r="B89" i="3"/>
  <c r="E88" i="3"/>
  <c r="M88" i="3"/>
  <c r="C30" i="2"/>
  <c r="D87" i="2"/>
  <c r="E87" i="2"/>
  <c r="M87" i="2"/>
  <c r="I42" i="2"/>
  <c r="H42" i="2"/>
  <c r="G42" i="2"/>
  <c r="B43" i="2"/>
  <c r="B44" i="1"/>
  <c r="I46" i="6"/>
  <c r="H46" i="6"/>
  <c r="G46" i="6"/>
  <c r="H46" i="5"/>
  <c r="B47" i="5"/>
  <c r="I46" i="5"/>
  <c r="G46" i="5"/>
  <c r="H46" i="3"/>
  <c r="B47" i="3"/>
  <c r="I46" i="3"/>
  <c r="G46" i="3"/>
  <c r="E89" i="3"/>
  <c r="M89" i="3"/>
  <c r="F88" i="3"/>
  <c r="G88" i="3"/>
  <c r="H88" i="3"/>
  <c r="F84" i="3"/>
  <c r="F80" i="3"/>
  <c r="F76" i="3"/>
  <c r="F72" i="3"/>
  <c r="F68" i="3"/>
  <c r="F86" i="3"/>
  <c r="F82" i="3"/>
  <c r="F78" i="3"/>
  <c r="F74" i="3"/>
  <c r="F70" i="3"/>
  <c r="F66" i="3"/>
  <c r="F65" i="3"/>
  <c r="F89" i="3"/>
  <c r="F85" i="3"/>
  <c r="F81" i="3"/>
  <c r="F87" i="3"/>
  <c r="F75" i="3"/>
  <c r="F67" i="3"/>
  <c r="F83" i="3"/>
  <c r="F73" i="3"/>
  <c r="D89" i="3"/>
  <c r="F71" i="3"/>
  <c r="F69" i="3"/>
  <c r="F77" i="3"/>
  <c r="F79" i="3"/>
  <c r="C27" i="3"/>
  <c r="H27" i="3"/>
  <c r="E66" i="3"/>
  <c r="M66" i="3"/>
  <c r="E88" i="2"/>
  <c r="M88" i="2"/>
  <c r="D88" i="2"/>
  <c r="I43" i="2"/>
  <c r="B44" i="2"/>
  <c r="F30" i="2"/>
  <c r="B45" i="1"/>
  <c r="H44" i="1"/>
  <c r="G44" i="1"/>
  <c r="I44" i="1"/>
  <c r="B48" i="5"/>
  <c r="F104" i="3"/>
  <c r="G77" i="3"/>
  <c r="H77" i="3"/>
  <c r="L77" i="3"/>
  <c r="N77" i="3"/>
  <c r="O77" i="3"/>
  <c r="F92" i="3"/>
  <c r="L65" i="3"/>
  <c r="N65" i="3"/>
  <c r="G65" i="3"/>
  <c r="L88" i="3"/>
  <c r="N88" i="3"/>
  <c r="O88" i="3"/>
  <c r="G85" i="3"/>
  <c r="H85" i="3"/>
  <c r="L85" i="3"/>
  <c r="N85" i="3"/>
  <c r="O85" i="3"/>
  <c r="G86" i="3"/>
  <c r="H86" i="3"/>
  <c r="L86" i="3"/>
  <c r="N86" i="3"/>
  <c r="O86" i="3"/>
  <c r="G80" i="3"/>
  <c r="H80" i="3"/>
  <c r="F107" i="3"/>
  <c r="L80" i="3"/>
  <c r="N80" i="3"/>
  <c r="O80" i="3"/>
  <c r="F105" i="3"/>
  <c r="L78" i="3"/>
  <c r="N78" i="3"/>
  <c r="O78" i="3"/>
  <c r="G78" i="3"/>
  <c r="H78" i="3"/>
  <c r="L79" i="3"/>
  <c r="N79" i="3"/>
  <c r="O79" i="3"/>
  <c r="F106" i="3"/>
  <c r="G79" i="3"/>
  <c r="H79" i="3"/>
  <c r="F111" i="3"/>
  <c r="L89" i="3"/>
  <c r="N89" i="3"/>
  <c r="O89" i="3"/>
  <c r="G89" i="3"/>
  <c r="H89" i="3"/>
  <c r="F102" i="3"/>
  <c r="G75" i="3"/>
  <c r="H75" i="3"/>
  <c r="L75" i="3"/>
  <c r="N75" i="3"/>
  <c r="O75" i="3"/>
  <c r="G84" i="3"/>
  <c r="H84" i="3"/>
  <c r="L84" i="3"/>
  <c r="N84" i="3"/>
  <c r="O84" i="3"/>
  <c r="G27" i="3"/>
  <c r="D66" i="3"/>
  <c r="F27" i="3"/>
  <c r="G87" i="3"/>
  <c r="H87" i="3"/>
  <c r="L87" i="3"/>
  <c r="N87" i="3"/>
  <c r="O87" i="3"/>
  <c r="I47" i="3"/>
  <c r="B48" i="3"/>
  <c r="L83" i="3"/>
  <c r="N83" i="3"/>
  <c r="O83" i="3"/>
  <c r="F110" i="3"/>
  <c r="G83" i="3"/>
  <c r="H83" i="3"/>
  <c r="G81" i="3"/>
  <c r="H81" i="3"/>
  <c r="L81" i="3"/>
  <c r="N81" i="3"/>
  <c r="O81" i="3"/>
  <c r="F108" i="3"/>
  <c r="G82" i="3"/>
  <c r="H82" i="3"/>
  <c r="F109" i="3"/>
  <c r="L82" i="3"/>
  <c r="N82" i="3"/>
  <c r="O82" i="3"/>
  <c r="L76" i="3"/>
  <c r="N76" i="3"/>
  <c r="O76" i="3"/>
  <c r="G76" i="3"/>
  <c r="H76" i="3"/>
  <c r="F103" i="3"/>
  <c r="E89" i="2"/>
  <c r="M89" i="2"/>
  <c r="L88" i="2"/>
  <c r="N88" i="2"/>
  <c r="O88" i="2"/>
  <c r="D89" i="2"/>
  <c r="D31" i="2"/>
  <c r="I44" i="2"/>
  <c r="H44" i="2"/>
  <c r="G44" i="2"/>
  <c r="B45" i="2"/>
  <c r="G45" i="1"/>
  <c r="B46" i="1"/>
  <c r="I45" i="1"/>
  <c r="H45" i="1"/>
  <c r="I48" i="6"/>
  <c r="H48" i="6"/>
  <c r="G48" i="6"/>
  <c r="H48" i="5"/>
  <c r="B49" i="5"/>
  <c r="I48" i="5"/>
  <c r="G48" i="5"/>
  <c r="H48" i="3"/>
  <c r="B49" i="3"/>
  <c r="G48" i="3"/>
  <c r="I48" i="3"/>
  <c r="D28" i="3"/>
  <c r="H65" i="3"/>
  <c r="F93" i="3"/>
  <c r="L66" i="3"/>
  <c r="N66" i="3"/>
  <c r="O66" i="3"/>
  <c r="G66" i="3"/>
  <c r="H66" i="3"/>
  <c r="O65" i="3"/>
  <c r="G88" i="2"/>
  <c r="H88" i="2"/>
  <c r="F109" i="2"/>
  <c r="G82" i="2"/>
  <c r="H82" i="2"/>
  <c r="L82" i="2"/>
  <c r="N82" i="2"/>
  <c r="O82" i="2"/>
  <c r="G66" i="2"/>
  <c r="H66" i="2"/>
  <c r="F93" i="2"/>
  <c r="L66" i="2"/>
  <c r="N66" i="2"/>
  <c r="O66" i="2"/>
  <c r="F108" i="2"/>
  <c r="G81" i="2"/>
  <c r="H81" i="2"/>
  <c r="L81" i="2"/>
  <c r="N81" i="2"/>
  <c r="O81" i="2"/>
  <c r="L75" i="2"/>
  <c r="N75" i="2"/>
  <c r="O75" i="2"/>
  <c r="F102" i="2"/>
  <c r="G75" i="2"/>
  <c r="H75" i="2"/>
  <c r="F111" i="2"/>
  <c r="L89" i="2"/>
  <c r="N89" i="2"/>
  <c r="O89" i="2"/>
  <c r="G89" i="2"/>
  <c r="H89" i="2"/>
  <c r="F107" i="2"/>
  <c r="L80" i="2"/>
  <c r="N80" i="2"/>
  <c r="O80" i="2"/>
  <c r="G80" i="2"/>
  <c r="H80" i="2"/>
  <c r="L84" i="2"/>
  <c r="N84" i="2"/>
  <c r="O84" i="2"/>
  <c r="G84" i="2"/>
  <c r="H84" i="2"/>
  <c r="L83" i="2"/>
  <c r="N83" i="2"/>
  <c r="O83" i="2"/>
  <c r="G83" i="2"/>
  <c r="H83" i="2"/>
  <c r="F110" i="2"/>
  <c r="L85" i="2"/>
  <c r="N85" i="2"/>
  <c r="O85" i="2"/>
  <c r="G85" i="2"/>
  <c r="H85" i="2"/>
  <c r="F106" i="2"/>
  <c r="L79" i="2"/>
  <c r="N79" i="2"/>
  <c r="O79" i="2"/>
  <c r="G79" i="2"/>
  <c r="H79" i="2"/>
  <c r="F105" i="2"/>
  <c r="G78" i="2"/>
  <c r="H78" i="2"/>
  <c r="L78" i="2"/>
  <c r="N78" i="2"/>
  <c r="O78" i="2"/>
  <c r="I45" i="2"/>
  <c r="B46" i="2"/>
  <c r="H45" i="2"/>
  <c r="G45" i="2"/>
  <c r="C31" i="2"/>
  <c r="H31" i="2"/>
  <c r="E67" i="2"/>
  <c r="M67" i="2"/>
  <c r="F92" i="2"/>
  <c r="L65" i="2"/>
  <c r="N65" i="2"/>
  <c r="G65" i="2"/>
  <c r="L86" i="2"/>
  <c r="N86" i="2"/>
  <c r="O86" i="2"/>
  <c r="G86" i="2"/>
  <c r="H86" i="2"/>
  <c r="F104" i="2"/>
  <c r="L77" i="2"/>
  <c r="N77" i="2"/>
  <c r="O77" i="2"/>
  <c r="G77" i="2"/>
  <c r="H77" i="2"/>
  <c r="L87" i="2"/>
  <c r="N87" i="2"/>
  <c r="O87" i="2"/>
  <c r="G87" i="2"/>
  <c r="H87" i="2"/>
  <c r="F103" i="2"/>
  <c r="L76" i="2"/>
  <c r="N76" i="2"/>
  <c r="O76" i="2"/>
  <c r="G76" i="2"/>
  <c r="H76" i="2"/>
  <c r="H46" i="1"/>
  <c r="B47" i="1"/>
  <c r="I46" i="1"/>
  <c r="G46" i="1"/>
  <c r="I49" i="6"/>
  <c r="H49" i="6"/>
  <c r="G49" i="6"/>
  <c r="H49" i="5"/>
  <c r="B50" i="5"/>
  <c r="I49" i="5"/>
  <c r="G49" i="5"/>
  <c r="H49" i="3"/>
  <c r="G49" i="3"/>
  <c r="I49" i="3"/>
  <c r="B50" i="3"/>
  <c r="C28" i="3"/>
  <c r="H65" i="2"/>
  <c r="G31" i="2"/>
  <c r="D67" i="2"/>
  <c r="F31" i="2"/>
  <c r="O65" i="2"/>
  <c r="I46" i="2"/>
  <c r="H46" i="2"/>
  <c r="G46" i="2"/>
  <c r="B47" i="2"/>
  <c r="B48" i="1"/>
  <c r="I50" i="6"/>
  <c r="G50" i="6"/>
  <c r="H50" i="6"/>
  <c r="H50" i="5"/>
  <c r="B51" i="5"/>
  <c r="I50" i="5"/>
  <c r="G50" i="5"/>
  <c r="H50" i="3"/>
  <c r="B51" i="3"/>
  <c r="I50" i="3"/>
  <c r="G50" i="3"/>
  <c r="F28" i="3"/>
  <c r="L67" i="2"/>
  <c r="N67" i="2"/>
  <c r="F94" i="2"/>
  <c r="G67" i="2"/>
  <c r="I47" i="2"/>
  <c r="B48" i="2"/>
  <c r="D32" i="2"/>
  <c r="B49" i="1"/>
  <c r="H48" i="1"/>
  <c r="I48" i="1"/>
  <c r="G48" i="1"/>
  <c r="B52" i="5"/>
  <c r="I51" i="3"/>
  <c r="B52" i="3"/>
  <c r="D29" i="3"/>
  <c r="H67" i="2"/>
  <c r="C32" i="2"/>
  <c r="I48" i="2"/>
  <c r="H48" i="2"/>
  <c r="G48" i="2"/>
  <c r="B49" i="2"/>
  <c r="O67" i="2"/>
  <c r="I49" i="1"/>
  <c r="B50" i="1"/>
  <c r="G49" i="1"/>
  <c r="H49" i="1"/>
  <c r="I52" i="6"/>
  <c r="G52" i="6"/>
  <c r="H52" i="6"/>
  <c r="H52" i="5"/>
  <c r="B53" i="5"/>
  <c r="I52" i="5"/>
  <c r="G52" i="5"/>
  <c r="H52" i="3"/>
  <c r="G52" i="3"/>
  <c r="I52" i="3"/>
  <c r="B53" i="3"/>
  <c r="C29" i="3"/>
  <c r="I49" i="2"/>
  <c r="B50" i="2"/>
  <c r="H49" i="2"/>
  <c r="G49" i="2"/>
  <c r="F32" i="2"/>
  <c r="B51" i="1"/>
  <c r="H50" i="1"/>
  <c r="G50" i="1"/>
  <c r="I50" i="1"/>
  <c r="I53" i="6"/>
  <c r="H53" i="6"/>
  <c r="G53" i="6"/>
  <c r="H53" i="5"/>
  <c r="B54" i="5"/>
  <c r="I53" i="5"/>
  <c r="G53" i="5"/>
  <c r="H53" i="3"/>
  <c r="G53" i="3"/>
  <c r="B54" i="3"/>
  <c r="I53" i="3"/>
  <c r="F29" i="3"/>
  <c r="D33" i="2"/>
  <c r="I50" i="2"/>
  <c r="H50" i="2"/>
  <c r="G50" i="2"/>
  <c r="B51" i="2"/>
  <c r="B52" i="1"/>
  <c r="I54" i="6"/>
  <c r="G54" i="6"/>
  <c r="H54" i="6"/>
  <c r="H54" i="5"/>
  <c r="B55" i="5"/>
  <c r="I54" i="5"/>
  <c r="G54" i="5"/>
  <c r="H54" i="3"/>
  <c r="G54" i="3"/>
  <c r="I54" i="3"/>
  <c r="B55" i="3"/>
  <c r="D30" i="3"/>
  <c r="I51" i="2"/>
  <c r="B52" i="2"/>
  <c r="C33" i="2"/>
  <c r="B53" i="1"/>
  <c r="H52" i="1"/>
  <c r="I52" i="1"/>
  <c r="G52" i="1"/>
  <c r="B56" i="5"/>
  <c r="B56" i="3"/>
  <c r="I55" i="3"/>
  <c r="C30" i="3"/>
  <c r="I52" i="2"/>
  <c r="H52" i="2"/>
  <c r="G52" i="2"/>
  <c r="B53" i="2"/>
  <c r="F33" i="2"/>
  <c r="G53" i="1"/>
  <c r="B54" i="1"/>
  <c r="I53" i="1"/>
  <c r="H53" i="1"/>
  <c r="I56" i="6"/>
  <c r="G56" i="6"/>
  <c r="H56" i="6"/>
  <c r="H56" i="5"/>
  <c r="B57" i="5"/>
  <c r="I56" i="5"/>
  <c r="G56" i="5"/>
  <c r="H56" i="3"/>
  <c r="G56" i="3"/>
  <c r="I56" i="3"/>
  <c r="B57" i="3"/>
  <c r="F30" i="3"/>
  <c r="I53" i="2"/>
  <c r="B54" i="2"/>
  <c r="H53" i="2"/>
  <c r="G53" i="2"/>
  <c r="D34" i="2"/>
  <c r="H54" i="1"/>
  <c r="B55" i="1"/>
  <c r="I54" i="1"/>
  <c r="G54" i="1"/>
  <c r="I57" i="6"/>
  <c r="H57" i="6"/>
  <c r="G57" i="6"/>
  <c r="H57" i="5"/>
  <c r="B58" i="5"/>
  <c r="I57" i="5"/>
  <c r="G57" i="5"/>
  <c r="H57" i="3"/>
  <c r="G57" i="3"/>
  <c r="B58" i="3"/>
  <c r="I57" i="3"/>
  <c r="D31" i="3"/>
  <c r="C34" i="2"/>
  <c r="I54" i="2"/>
  <c r="H54" i="2"/>
  <c r="G54" i="2"/>
  <c r="B55" i="2"/>
  <c r="B56" i="1"/>
  <c r="I58" i="6"/>
  <c r="G58" i="6"/>
  <c r="H58" i="6"/>
  <c r="H58" i="5"/>
  <c r="B59" i="5"/>
  <c r="I58" i="5"/>
  <c r="G58" i="5"/>
  <c r="H58" i="3"/>
  <c r="G58" i="3"/>
  <c r="I58" i="3"/>
  <c r="B59" i="3"/>
  <c r="C31" i="3"/>
  <c r="H31" i="3"/>
  <c r="E67" i="3"/>
  <c r="M67" i="3"/>
  <c r="B56" i="2"/>
  <c r="I55" i="2"/>
  <c r="F34" i="2"/>
  <c r="B57" i="1"/>
  <c r="H56" i="1"/>
  <c r="I56" i="1"/>
  <c r="G56" i="1"/>
  <c r="I59" i="3"/>
  <c r="G31" i="3"/>
  <c r="D67" i="3"/>
  <c r="F31" i="3"/>
  <c r="D35" i="2"/>
  <c r="B57" i="2"/>
  <c r="I56" i="2"/>
  <c r="G56" i="2"/>
  <c r="H56" i="2"/>
  <c r="I57" i="1"/>
  <c r="B58" i="1"/>
  <c r="G57" i="1"/>
  <c r="H57" i="1"/>
  <c r="L67" i="3"/>
  <c r="N67" i="3"/>
  <c r="F94" i="3"/>
  <c r="G67" i="3"/>
  <c r="D32" i="3"/>
  <c r="B58" i="2"/>
  <c r="I57" i="2"/>
  <c r="G57" i="2"/>
  <c r="H57" i="2"/>
  <c r="C35" i="2"/>
  <c r="H35" i="2"/>
  <c r="E68" i="2"/>
  <c r="M68" i="2"/>
  <c r="B59" i="1"/>
  <c r="H58" i="1"/>
  <c r="G58" i="1"/>
  <c r="I58" i="1"/>
  <c r="C32" i="3"/>
  <c r="H67" i="3"/>
  <c r="O67" i="3"/>
  <c r="G35" i="2"/>
  <c r="D68" i="2"/>
  <c r="F35" i="2"/>
  <c r="B59" i="2"/>
  <c r="I58" i="2"/>
  <c r="G58" i="2"/>
  <c r="H58" i="2"/>
  <c r="F9" i="1"/>
  <c r="J17" i="1"/>
  <c r="I13" i="1"/>
  <c r="I12" i="1"/>
  <c r="E22" i="1"/>
  <c r="F32" i="3"/>
  <c r="I59" i="2"/>
  <c r="D36" i="2"/>
  <c r="F95" i="2"/>
  <c r="L68" i="2"/>
  <c r="N68" i="2"/>
  <c r="G68" i="2"/>
  <c r="I15" i="1"/>
  <c r="E57" i="1"/>
  <c r="E24" i="1"/>
  <c r="E48" i="1"/>
  <c r="E44" i="1"/>
  <c r="E26" i="1"/>
  <c r="E52" i="1"/>
  <c r="E42" i="1"/>
  <c r="E49" i="1"/>
  <c r="E41" i="1"/>
  <c r="E36" i="1"/>
  <c r="E39" i="1"/>
  <c r="E46" i="1"/>
  <c r="E53" i="1"/>
  <c r="E58" i="1"/>
  <c r="E35" i="1"/>
  <c r="E59" i="1"/>
  <c r="J20" i="1"/>
  <c r="E38" i="1"/>
  <c r="E37" i="1"/>
  <c r="K17" i="1"/>
  <c r="E54" i="1"/>
  <c r="E21" i="1"/>
  <c r="E27" i="1"/>
  <c r="E31" i="1"/>
  <c r="E32" i="1"/>
  <c r="E55" i="1"/>
  <c r="E45" i="1"/>
  <c r="E23" i="1"/>
  <c r="E33" i="1"/>
  <c r="E43" i="1"/>
  <c r="E29" i="1"/>
  <c r="D20" i="1"/>
  <c r="E51" i="1"/>
  <c r="E25" i="1"/>
  <c r="E34" i="1"/>
  <c r="E56" i="1"/>
  <c r="E40" i="1"/>
  <c r="E47" i="1"/>
  <c r="E20" i="1"/>
  <c r="E30" i="1"/>
  <c r="E28" i="1"/>
  <c r="E50" i="1"/>
  <c r="D33" i="3"/>
  <c r="H68" i="2"/>
  <c r="O68" i="2"/>
  <c r="C36" i="2"/>
  <c r="J16" i="1"/>
  <c r="L19" i="1"/>
  <c r="L23" i="1"/>
  <c r="F3" i="1"/>
  <c r="I51" i="1"/>
  <c r="I39" i="1"/>
  <c r="I31" i="1"/>
  <c r="I35" i="1"/>
  <c r="I27" i="1"/>
  <c r="I55" i="1"/>
  <c r="I23" i="1"/>
  <c r="C20" i="1"/>
  <c r="I43" i="1"/>
  <c r="I59" i="1"/>
  <c r="I47" i="1"/>
  <c r="C33" i="3"/>
  <c r="F36" i="2"/>
  <c r="L76" i="1"/>
  <c r="C80" i="1"/>
  <c r="G80" i="1"/>
  <c r="H80" i="1"/>
  <c r="F104" i="1"/>
  <c r="L81" i="1"/>
  <c r="F111" i="1"/>
  <c r="L82" i="1"/>
  <c r="L75" i="1"/>
  <c r="L83" i="1"/>
  <c r="C85" i="1"/>
  <c r="K85" i="1"/>
  <c r="N85" i="1"/>
  <c r="O85" i="1"/>
  <c r="C88" i="1"/>
  <c r="K88" i="1"/>
  <c r="N88" i="1"/>
  <c r="O88" i="1"/>
  <c r="C82" i="1"/>
  <c r="K82" i="1"/>
  <c r="C78" i="1"/>
  <c r="K78" i="1"/>
  <c r="C74" i="1"/>
  <c r="K74" i="1"/>
  <c r="C70" i="1"/>
  <c r="K70" i="1"/>
  <c r="C66" i="1"/>
  <c r="K66" i="1"/>
  <c r="C86" i="1"/>
  <c r="K86" i="1"/>
  <c r="N86" i="1"/>
  <c r="O86" i="1"/>
  <c r="C81" i="1"/>
  <c r="K81" i="1"/>
  <c r="C73" i="1"/>
  <c r="K73" i="1"/>
  <c r="C65" i="1"/>
  <c r="K65" i="1"/>
  <c r="C87" i="1"/>
  <c r="C89" i="1"/>
  <c r="K89" i="1"/>
  <c r="K80" i="1"/>
  <c r="C76" i="1"/>
  <c r="K76" i="1"/>
  <c r="C72" i="1"/>
  <c r="K72" i="1"/>
  <c r="C68" i="1"/>
  <c r="K68" i="1"/>
  <c r="C84" i="1"/>
  <c r="K84" i="1"/>
  <c r="N84" i="1"/>
  <c r="O84" i="1"/>
  <c r="C83" i="1"/>
  <c r="K83" i="1"/>
  <c r="C79" i="1"/>
  <c r="K79" i="1"/>
  <c r="C75" i="1"/>
  <c r="K75" i="1"/>
  <c r="C71" i="1"/>
  <c r="K71" i="1"/>
  <c r="C67" i="1"/>
  <c r="K67" i="1"/>
  <c r="C77" i="1"/>
  <c r="K77" i="1"/>
  <c r="C69" i="1"/>
  <c r="K69" i="1"/>
  <c r="L79" i="1"/>
  <c r="L78" i="1"/>
  <c r="F103" i="1"/>
  <c r="F20" i="1"/>
  <c r="F33" i="3"/>
  <c r="D37" i="2"/>
  <c r="G87" i="1"/>
  <c r="H87" i="1"/>
  <c r="K87" i="1"/>
  <c r="N87" i="1"/>
  <c r="O87" i="1"/>
  <c r="G85" i="1"/>
  <c r="H85" i="1"/>
  <c r="N78" i="1"/>
  <c r="O78" i="1"/>
  <c r="L89" i="1"/>
  <c r="N89" i="1"/>
  <c r="O89" i="1"/>
  <c r="F108" i="1"/>
  <c r="N79" i="1"/>
  <c r="O79" i="1"/>
  <c r="L80" i="1"/>
  <c r="N80" i="1"/>
  <c r="O80" i="1"/>
  <c r="N83" i="1"/>
  <c r="O83" i="1"/>
  <c r="N82" i="1"/>
  <c r="O82" i="1"/>
  <c r="N75" i="1"/>
  <c r="O75" i="1"/>
  <c r="N81" i="1"/>
  <c r="O81" i="1"/>
  <c r="N76" i="1"/>
  <c r="O76" i="1"/>
  <c r="F110" i="1"/>
  <c r="G81" i="1"/>
  <c r="H81" i="1"/>
  <c r="G79" i="1"/>
  <c r="H79" i="1"/>
  <c r="G82" i="1"/>
  <c r="H82" i="1"/>
  <c r="G89" i="1"/>
  <c r="H89" i="1"/>
  <c r="G84" i="1"/>
  <c r="H84" i="1"/>
  <c r="G88" i="1"/>
  <c r="H88" i="1"/>
  <c r="G86" i="1"/>
  <c r="H86" i="1"/>
  <c r="G77" i="1"/>
  <c r="H77" i="1"/>
  <c r="F109" i="1"/>
  <c r="G83" i="1"/>
  <c r="H83" i="1"/>
  <c r="F105" i="1"/>
  <c r="G78" i="1"/>
  <c r="H78" i="1"/>
  <c r="F106" i="1"/>
  <c r="F107" i="1"/>
  <c r="G76" i="1"/>
  <c r="H76" i="1"/>
  <c r="G75" i="1"/>
  <c r="H75" i="1"/>
  <c r="L77" i="1"/>
  <c r="N77" i="1"/>
  <c r="O77" i="1"/>
  <c r="F102" i="1"/>
  <c r="D21" i="1"/>
  <c r="D34" i="3"/>
  <c r="C37" i="2"/>
  <c r="C21" i="1"/>
  <c r="C34" i="3"/>
  <c r="F37" i="2"/>
  <c r="F21" i="1"/>
  <c r="F34" i="3"/>
  <c r="D38" i="2"/>
  <c r="D22" i="1"/>
  <c r="D35" i="3"/>
  <c r="C38" i="2"/>
  <c r="C22" i="1"/>
  <c r="C35" i="3"/>
  <c r="H35" i="3"/>
  <c r="E68" i="3"/>
  <c r="M68" i="3"/>
  <c r="F38" i="2"/>
  <c r="F22" i="1"/>
  <c r="G35" i="3"/>
  <c r="D68" i="3"/>
  <c r="F35" i="3"/>
  <c r="D39" i="2"/>
  <c r="D23" i="1"/>
  <c r="D36" i="3"/>
  <c r="F95" i="3"/>
  <c r="L68" i="3"/>
  <c r="N68" i="3"/>
  <c r="G68" i="3"/>
  <c r="C39" i="2"/>
  <c r="H39" i="2"/>
  <c r="E69" i="2"/>
  <c r="M69" i="2"/>
  <c r="C23" i="1"/>
  <c r="H23" i="1"/>
  <c r="E65" i="1"/>
  <c r="M65" i="1"/>
  <c r="O68" i="3"/>
  <c r="H68" i="3"/>
  <c r="C36" i="3"/>
  <c r="G39" i="2"/>
  <c r="D69" i="2"/>
  <c r="F39" i="2"/>
  <c r="G23" i="1"/>
  <c r="D65" i="1"/>
  <c r="F23" i="1"/>
  <c r="F36" i="3"/>
  <c r="D40" i="2"/>
  <c r="F96" i="2"/>
  <c r="L69" i="2"/>
  <c r="N69" i="2"/>
  <c r="G69" i="2"/>
  <c r="D24" i="1"/>
  <c r="L65" i="1"/>
  <c r="N65" i="1"/>
  <c r="F92" i="1"/>
  <c r="G65" i="1"/>
  <c r="D37" i="3"/>
  <c r="C40" i="2"/>
  <c r="O69" i="2"/>
  <c r="H69" i="2"/>
  <c r="C24" i="1"/>
  <c r="O65" i="1"/>
  <c r="H65" i="1"/>
  <c r="C37" i="3"/>
  <c r="F40" i="2"/>
  <c r="F24" i="1"/>
  <c r="F37" i="3"/>
  <c r="D41" i="2"/>
  <c r="D25" i="1"/>
  <c r="D38" i="3"/>
  <c r="C41" i="2"/>
  <c r="C25" i="1"/>
  <c r="C38" i="3"/>
  <c r="F41" i="2"/>
  <c r="F25" i="1"/>
  <c r="F38" i="3"/>
  <c r="D42" i="2"/>
  <c r="D26" i="1"/>
  <c r="D39" i="3"/>
  <c r="C42" i="2"/>
  <c r="C26" i="1"/>
  <c r="C39" i="3"/>
  <c r="H39" i="3"/>
  <c r="E69" i="3"/>
  <c r="M69" i="3"/>
  <c r="F42" i="2"/>
  <c r="F26" i="1"/>
  <c r="G39" i="3"/>
  <c r="D69" i="3"/>
  <c r="F39" i="3"/>
  <c r="D43" i="2"/>
  <c r="D27" i="1"/>
  <c r="L69" i="3"/>
  <c r="N69" i="3"/>
  <c r="F96" i="3"/>
  <c r="G69" i="3"/>
  <c r="D40" i="3"/>
  <c r="C43" i="2"/>
  <c r="H43" i="2"/>
  <c r="E70" i="2"/>
  <c r="M70" i="2"/>
  <c r="C27" i="1"/>
  <c r="H27" i="1"/>
  <c r="E66" i="1"/>
  <c r="M66" i="1"/>
  <c r="C40" i="3"/>
  <c r="H69" i="3"/>
  <c r="O69" i="3"/>
  <c r="G43" i="2"/>
  <c r="D70" i="2"/>
  <c r="F43" i="2"/>
  <c r="G27" i="1"/>
  <c r="D66" i="1"/>
  <c r="F27" i="1"/>
  <c r="F40" i="3"/>
  <c r="D44" i="2"/>
  <c r="L70" i="2"/>
  <c r="N70" i="2"/>
  <c r="F97" i="2"/>
  <c r="G70" i="2"/>
  <c r="G66" i="1"/>
  <c r="F93" i="1"/>
  <c r="L66" i="1"/>
  <c r="N66" i="1"/>
  <c r="D28" i="1"/>
  <c r="D41" i="3"/>
  <c r="O70" i="2"/>
  <c r="C44" i="2"/>
  <c r="H70" i="2"/>
  <c r="C28" i="1"/>
  <c r="O66" i="1"/>
  <c r="H66" i="1"/>
  <c r="C41" i="3"/>
  <c r="F44" i="2"/>
  <c r="F28" i="1"/>
  <c r="F41" i="3"/>
  <c r="D45" i="2"/>
  <c r="D29" i="1"/>
  <c r="D42" i="3"/>
  <c r="C45" i="2"/>
  <c r="C29" i="1"/>
  <c r="C42" i="3"/>
  <c r="F45" i="2"/>
  <c r="F29" i="1"/>
  <c r="F42" i="3"/>
  <c r="D46" i="2"/>
  <c r="D30" i="1"/>
  <c r="D43" i="3"/>
  <c r="C46" i="2"/>
  <c r="C30" i="1"/>
  <c r="C43" i="3"/>
  <c r="H43" i="3"/>
  <c r="E70" i="3"/>
  <c r="M70" i="3"/>
  <c r="F46" i="2"/>
  <c r="F30" i="1"/>
  <c r="G43" i="3"/>
  <c r="D70" i="3"/>
  <c r="F43" i="3"/>
  <c r="D47" i="2"/>
  <c r="D31" i="1"/>
  <c r="F97" i="3"/>
  <c r="L70" i="3"/>
  <c r="N70" i="3"/>
  <c r="O70" i="3"/>
  <c r="G70" i="3"/>
  <c r="H70" i="3"/>
  <c r="D44" i="3"/>
  <c r="C47" i="2"/>
  <c r="H47" i="2"/>
  <c r="E71" i="2"/>
  <c r="M71" i="2"/>
  <c r="C31" i="1"/>
  <c r="H31" i="1"/>
  <c r="E67" i="1"/>
  <c r="M67" i="1"/>
  <c r="C44" i="3"/>
  <c r="G47" i="2"/>
  <c r="D71" i="2"/>
  <c r="F47" i="2"/>
  <c r="G31" i="1"/>
  <c r="D67" i="1"/>
  <c r="F31" i="1"/>
  <c r="F44" i="3"/>
  <c r="D48" i="2"/>
  <c r="L71" i="2"/>
  <c r="N71" i="2"/>
  <c r="O71" i="2"/>
  <c r="F98" i="2"/>
  <c r="G71" i="2"/>
  <c r="H71" i="2"/>
  <c r="G67" i="1"/>
  <c r="F94" i="1"/>
  <c r="L67" i="1"/>
  <c r="N67" i="1"/>
  <c r="D32" i="1"/>
  <c r="D45" i="3"/>
  <c r="C48" i="2"/>
  <c r="O67" i="1"/>
  <c r="C32" i="1"/>
  <c r="H67" i="1"/>
  <c r="C45" i="3"/>
  <c r="F48" i="2"/>
  <c r="F32" i="1"/>
  <c r="F45" i="3"/>
  <c r="D49" i="2"/>
  <c r="D33" i="1"/>
  <c r="D46" i="3"/>
  <c r="C49" i="2"/>
  <c r="C33" i="1"/>
  <c r="C46" i="3"/>
  <c r="F49" i="2"/>
  <c r="F33" i="1"/>
  <c r="F46" i="3"/>
  <c r="D50" i="2"/>
  <c r="D34" i="1"/>
  <c r="D47" i="3"/>
  <c r="C50" i="2"/>
  <c r="C34" i="1"/>
  <c r="C47" i="3"/>
  <c r="H47" i="3"/>
  <c r="E71" i="3"/>
  <c r="M71" i="3"/>
  <c r="F50" i="2"/>
  <c r="F34" i="1"/>
  <c r="G47" i="3"/>
  <c r="D71" i="3"/>
  <c r="F47" i="3"/>
  <c r="D51" i="2"/>
  <c r="D35" i="1"/>
  <c r="L71" i="3"/>
  <c r="N71" i="3"/>
  <c r="O71" i="3"/>
  <c r="F98" i="3"/>
  <c r="G71" i="3"/>
  <c r="H71" i="3"/>
  <c r="D48" i="3"/>
  <c r="C51" i="2"/>
  <c r="H51" i="2"/>
  <c r="E72" i="2"/>
  <c r="M72" i="2"/>
  <c r="C35" i="1"/>
  <c r="H35" i="1"/>
  <c r="E68" i="1"/>
  <c r="M68" i="1"/>
  <c r="C48" i="3"/>
  <c r="G51" i="2"/>
  <c r="D72" i="2"/>
  <c r="F51" i="2"/>
  <c r="G35" i="1"/>
  <c r="D68" i="1"/>
  <c r="F35" i="1"/>
  <c r="F48" i="3"/>
  <c r="D52" i="2"/>
  <c r="F99" i="2"/>
  <c r="L72" i="2"/>
  <c r="N72" i="2"/>
  <c r="O72" i="2"/>
  <c r="G72" i="2"/>
  <c r="H72" i="2"/>
  <c r="L68" i="1"/>
  <c r="N68" i="1"/>
  <c r="G68" i="1"/>
  <c r="F95" i="1"/>
  <c r="D36" i="1"/>
  <c r="D49" i="3"/>
  <c r="C52" i="2"/>
  <c r="H68" i="1"/>
  <c r="C36" i="1"/>
  <c r="O68" i="1"/>
  <c r="C49" i="3"/>
  <c r="F52" i="2"/>
  <c r="F36" i="1"/>
  <c r="F49" i="3"/>
  <c r="D53" i="2"/>
  <c r="D37" i="1"/>
  <c r="D50" i="3"/>
  <c r="C53" i="2"/>
  <c r="C37" i="1"/>
  <c r="C50" i="3"/>
  <c r="F53" i="2"/>
  <c r="F37" i="1"/>
  <c r="F50" i="3"/>
  <c r="D54" i="2"/>
  <c r="D38" i="1"/>
  <c r="D51" i="3"/>
  <c r="C54" i="2"/>
  <c r="C38" i="1"/>
  <c r="C51" i="3"/>
  <c r="H51" i="3"/>
  <c r="E72" i="3"/>
  <c r="M72" i="3"/>
  <c r="F54" i="2"/>
  <c r="F38" i="1"/>
  <c r="G51" i="3"/>
  <c r="D72" i="3"/>
  <c r="F51" i="3"/>
  <c r="D55" i="2"/>
  <c r="D39" i="1"/>
  <c r="D52" i="3"/>
  <c r="F99" i="3"/>
  <c r="L72" i="3"/>
  <c r="N72" i="3"/>
  <c r="O72" i="3"/>
  <c r="G72" i="3"/>
  <c r="H72" i="3"/>
  <c r="C55" i="2"/>
  <c r="H55" i="2"/>
  <c r="E73" i="2"/>
  <c r="M73" i="2"/>
  <c r="C39" i="1"/>
  <c r="H39" i="1"/>
  <c r="E69" i="1"/>
  <c r="M69" i="1"/>
  <c r="C52" i="3"/>
  <c r="G55" i="2"/>
  <c r="D73" i="2"/>
  <c r="F55" i="2"/>
  <c r="G39" i="1"/>
  <c r="D69" i="1"/>
  <c r="F39" i="1"/>
  <c r="F52" i="3"/>
  <c r="D56" i="2"/>
  <c r="F100" i="2"/>
  <c r="L73" i="2"/>
  <c r="N73" i="2"/>
  <c r="O73" i="2"/>
  <c r="G73" i="2"/>
  <c r="H73" i="2"/>
  <c r="G69" i="1"/>
  <c r="F96" i="1"/>
  <c r="L69" i="1"/>
  <c r="N69" i="1"/>
  <c r="D40" i="1"/>
  <c r="D53" i="3"/>
  <c r="C56" i="2"/>
  <c r="C40" i="1"/>
  <c r="O69" i="1"/>
  <c r="H69" i="1"/>
  <c r="C53" i="3"/>
  <c r="F56" i="2"/>
  <c r="F40" i="1"/>
  <c r="F53" i="3"/>
  <c r="D57" i="2"/>
  <c r="D41" i="1"/>
  <c r="D54" i="3"/>
  <c r="C57" i="2"/>
  <c r="C41" i="1"/>
  <c r="C54" i="3"/>
  <c r="F57" i="2"/>
  <c r="F41" i="1"/>
  <c r="F54" i="3"/>
  <c r="D58" i="2"/>
  <c r="D42" i="1"/>
  <c r="D55" i="3"/>
  <c r="C58" i="2"/>
  <c r="C42" i="1"/>
  <c r="C55" i="3"/>
  <c r="H55" i="3"/>
  <c r="E73" i="3"/>
  <c r="M73" i="3"/>
  <c r="F58" i="2"/>
  <c r="F42" i="1"/>
  <c r="G55" i="3"/>
  <c r="D73" i="3"/>
  <c r="F55" i="3"/>
  <c r="D59" i="2"/>
  <c r="D43" i="1"/>
  <c r="D56" i="3"/>
  <c r="L73" i="3"/>
  <c r="N73" i="3"/>
  <c r="O73" i="3"/>
  <c r="F100" i="3"/>
  <c r="G73" i="3"/>
  <c r="H73" i="3"/>
  <c r="C59" i="2"/>
  <c r="H59" i="2"/>
  <c r="E74" i="2"/>
  <c r="M74" i="2"/>
  <c r="C43" i="1"/>
  <c r="H43" i="1"/>
  <c r="E70" i="1"/>
  <c r="M70" i="1"/>
  <c r="C56" i="3"/>
  <c r="G59" i="2"/>
  <c r="D74" i="2"/>
  <c r="F59" i="2"/>
  <c r="G43" i="1"/>
  <c r="D70" i="1"/>
  <c r="F43" i="1"/>
  <c r="F56" i="3"/>
  <c r="L74" i="2"/>
  <c r="N74" i="2"/>
  <c r="F101" i="2"/>
  <c r="G74" i="2"/>
  <c r="D44" i="1"/>
  <c r="G70" i="1"/>
  <c r="H70" i="1"/>
  <c r="F97" i="1"/>
  <c r="L70" i="1"/>
  <c r="N70" i="1"/>
  <c r="O70" i="1"/>
  <c r="D57" i="3"/>
  <c r="H74" i="2"/>
  <c r="H90" i="2"/>
  <c r="G90" i="2"/>
  <c r="O74" i="2"/>
  <c r="O90" i="2"/>
  <c r="N90" i="2"/>
  <c r="C44" i="1"/>
  <c r="C57" i="3"/>
  <c r="F44" i="1"/>
  <c r="F57" i="3"/>
  <c r="D45" i="1"/>
  <c r="D58" i="3"/>
  <c r="C45" i="1"/>
  <c r="C58" i="3"/>
  <c r="F45" i="1"/>
  <c r="F58" i="3"/>
  <c r="D46" i="1"/>
  <c r="D59" i="3"/>
  <c r="C46" i="1"/>
  <c r="C59" i="3"/>
  <c r="H59" i="3"/>
  <c r="E74" i="3"/>
  <c r="M74" i="3"/>
  <c r="F46" i="1"/>
  <c r="G59" i="3"/>
  <c r="D74" i="3"/>
  <c r="F59" i="3"/>
  <c r="D47" i="1"/>
  <c r="F101" i="3"/>
  <c r="L74" i="3"/>
  <c r="N74" i="3"/>
  <c r="G74" i="3"/>
  <c r="C47" i="1"/>
  <c r="H47" i="1"/>
  <c r="E71" i="1"/>
  <c r="M71" i="1"/>
  <c r="O74" i="3"/>
  <c r="O90" i="3"/>
  <c r="N90" i="3"/>
  <c r="H74" i="3"/>
  <c r="H90" i="3"/>
  <c r="G90" i="3"/>
  <c r="G47" i="1"/>
  <c r="D71" i="1"/>
  <c r="F47" i="1"/>
  <c r="G71" i="1"/>
  <c r="H71" i="1"/>
  <c r="F98" i="1"/>
  <c r="L71" i="1"/>
  <c r="N71" i="1"/>
  <c r="O71" i="1"/>
  <c r="D48" i="1"/>
  <c r="C48" i="1"/>
  <c r="F48" i="1"/>
  <c r="D49" i="1"/>
  <c r="C49" i="1"/>
  <c r="F49" i="1"/>
  <c r="D50" i="1"/>
  <c r="C50" i="1"/>
  <c r="F50" i="1"/>
  <c r="D51" i="1"/>
  <c r="C51" i="1"/>
  <c r="H51" i="1"/>
  <c r="E72" i="1"/>
  <c r="M72" i="1"/>
  <c r="G51" i="1"/>
  <c r="D72" i="1"/>
  <c r="F51" i="1"/>
  <c r="G72" i="1"/>
  <c r="H72" i="1"/>
  <c r="F99" i="1"/>
  <c r="L72" i="1"/>
  <c r="N72" i="1"/>
  <c r="O72" i="1"/>
  <c r="D52" i="1"/>
  <c r="C52" i="1"/>
  <c r="F52" i="1"/>
  <c r="D53" i="1"/>
  <c r="C53" i="1"/>
  <c r="F53" i="1"/>
  <c r="D54" i="1"/>
  <c r="C54" i="1"/>
  <c r="F54" i="1"/>
  <c r="D55" i="1"/>
  <c r="C55" i="1"/>
  <c r="H55" i="1"/>
  <c r="E73" i="1"/>
  <c r="M73" i="1"/>
  <c r="G55" i="1"/>
  <c r="D73" i="1"/>
  <c r="F55" i="1"/>
  <c r="F100" i="1"/>
  <c r="L73" i="1"/>
  <c r="N73" i="1"/>
  <c r="O73" i="1"/>
  <c r="G73" i="1"/>
  <c r="H73" i="1"/>
  <c r="D56" i="1"/>
  <c r="C56" i="1"/>
  <c r="F56" i="1"/>
  <c r="D57" i="1"/>
  <c r="C57" i="1"/>
  <c r="F57" i="1"/>
  <c r="D58" i="1"/>
  <c r="C58" i="1"/>
  <c r="F58" i="1"/>
  <c r="D59" i="1"/>
  <c r="C59" i="1"/>
  <c r="H59" i="1"/>
  <c r="E74" i="1"/>
  <c r="M74" i="1"/>
  <c r="G59" i="1"/>
  <c r="D74" i="1"/>
  <c r="F59" i="1"/>
  <c r="G74" i="1"/>
  <c r="F101" i="1"/>
  <c r="L74" i="1"/>
  <c r="N74" i="1"/>
  <c r="O74" i="1"/>
  <c r="O90" i="1"/>
  <c r="N90" i="1"/>
  <c r="H74" i="1"/>
  <c r="H90" i="1"/>
  <c r="G90" i="1"/>
  <c r="C2" i="5"/>
  <c r="C3" i="5"/>
  <c r="C65" i="5"/>
  <c r="C80" i="5"/>
  <c r="C79" i="5"/>
  <c r="C86" i="5"/>
  <c r="C71" i="5"/>
  <c r="C73" i="5"/>
  <c r="C76" i="5"/>
  <c r="C67" i="5"/>
  <c r="C82" i="5"/>
  <c r="C84" i="5"/>
  <c r="C69" i="5"/>
  <c r="C66" i="5"/>
  <c r="C70" i="5"/>
  <c r="C85" i="5"/>
  <c r="C89" i="5"/>
  <c r="C87" i="5"/>
  <c r="C88" i="5"/>
  <c r="C77" i="5"/>
  <c r="C83" i="5"/>
  <c r="C81" i="5"/>
  <c r="C78" i="5"/>
  <c r="C68" i="5"/>
  <c r="C72" i="5"/>
  <c r="C75" i="5"/>
  <c r="C74" i="5"/>
  <c r="F9" i="5"/>
  <c r="F19" i="5"/>
  <c r="F11" i="5"/>
  <c r="F12" i="5"/>
  <c r="K17" i="5"/>
  <c r="J17" i="5"/>
  <c r="K75" i="5"/>
  <c r="K87" i="5"/>
  <c r="K66" i="5"/>
  <c r="K67" i="5"/>
  <c r="K86" i="5"/>
  <c r="J16" i="5"/>
  <c r="J20" i="5"/>
  <c r="H17" i="5"/>
  <c r="K81" i="5"/>
  <c r="E55" i="5"/>
  <c r="E28" i="5"/>
  <c r="E41" i="5"/>
  <c r="E21" i="5"/>
  <c r="E57" i="5"/>
  <c r="E59" i="5"/>
  <c r="E22" i="5"/>
  <c r="E23" i="5"/>
  <c r="E47" i="5"/>
  <c r="E50" i="5"/>
  <c r="E37" i="5"/>
  <c r="E35" i="5"/>
  <c r="E34" i="5"/>
  <c r="E46" i="5"/>
  <c r="E58" i="5"/>
  <c r="E52" i="5"/>
  <c r="E26" i="5"/>
  <c r="E30" i="5"/>
  <c r="E40" i="5"/>
  <c r="E25" i="5"/>
  <c r="E56" i="5"/>
  <c r="E27" i="5"/>
  <c r="E36" i="5"/>
  <c r="E54" i="5"/>
  <c r="E42" i="5"/>
  <c r="E24" i="5"/>
  <c r="E48" i="5"/>
  <c r="E29" i="5"/>
  <c r="E33" i="5"/>
  <c r="E38" i="5"/>
  <c r="E51" i="5"/>
  <c r="D20" i="5"/>
  <c r="E32" i="5"/>
  <c r="E44" i="5"/>
  <c r="E39" i="5"/>
  <c r="E20" i="5"/>
  <c r="E31" i="5"/>
  <c r="E49" i="5"/>
  <c r="E45" i="5"/>
  <c r="E53" i="5"/>
  <c r="E43" i="5"/>
  <c r="K72" i="5"/>
  <c r="K83" i="5"/>
  <c r="K89" i="5"/>
  <c r="K69" i="5"/>
  <c r="K76" i="5"/>
  <c r="K79" i="5"/>
  <c r="K68" i="5"/>
  <c r="K77" i="5"/>
  <c r="K85" i="5"/>
  <c r="K84" i="5"/>
  <c r="K73" i="5"/>
  <c r="K80" i="5"/>
  <c r="K74" i="5"/>
  <c r="K78" i="5"/>
  <c r="K88" i="5"/>
  <c r="K70" i="5"/>
  <c r="K82" i="5"/>
  <c r="K71" i="5"/>
  <c r="K65" i="5"/>
  <c r="F13" i="5"/>
  <c r="F81" i="5"/>
  <c r="I35" i="5"/>
  <c r="I27" i="5"/>
  <c r="I31" i="5"/>
  <c r="F65" i="5"/>
  <c r="F88" i="5"/>
  <c r="I23" i="5"/>
  <c r="C20" i="5"/>
  <c r="I59" i="5"/>
  <c r="I55" i="5"/>
  <c r="I47" i="5"/>
  <c r="I51" i="5"/>
  <c r="I39" i="5"/>
  <c r="I43" i="5"/>
  <c r="F75" i="5"/>
  <c r="F80" i="5"/>
  <c r="G80" i="5"/>
  <c r="H80" i="5"/>
  <c r="F71" i="5"/>
  <c r="F69" i="5"/>
  <c r="F83" i="5"/>
  <c r="F110" i="5"/>
  <c r="F85" i="5"/>
  <c r="G85" i="5"/>
  <c r="H85" i="5"/>
  <c r="F70" i="5"/>
  <c r="F76" i="5"/>
  <c r="F103" i="5"/>
  <c r="F86" i="5"/>
  <c r="L86" i="5"/>
  <c r="N86" i="5"/>
  <c r="O86" i="5"/>
  <c r="F67" i="5"/>
  <c r="F82" i="5"/>
  <c r="G82" i="5"/>
  <c r="H82" i="5"/>
  <c r="F89" i="5"/>
  <c r="L89" i="5"/>
  <c r="N89" i="5"/>
  <c r="O89" i="5"/>
  <c r="F77" i="5"/>
  <c r="G77" i="5"/>
  <c r="H77" i="5"/>
  <c r="F78" i="5"/>
  <c r="L78" i="5"/>
  <c r="N78" i="5"/>
  <c r="O78" i="5"/>
  <c r="F74" i="5"/>
  <c r="F87" i="5"/>
  <c r="G87" i="5"/>
  <c r="H87" i="5"/>
  <c r="F73" i="5"/>
  <c r="F72" i="5"/>
  <c r="F66" i="5"/>
  <c r="F79" i="5"/>
  <c r="L79" i="5"/>
  <c r="N79" i="5"/>
  <c r="O79" i="5"/>
  <c r="F68" i="5"/>
  <c r="F84" i="5"/>
  <c r="L84" i="5"/>
  <c r="N84" i="5"/>
  <c r="O84" i="5"/>
  <c r="F20" i="5"/>
  <c r="L75" i="5"/>
  <c r="N75" i="5"/>
  <c r="O75" i="5"/>
  <c r="F102" i="5"/>
  <c r="G75" i="5"/>
  <c r="H75" i="5"/>
  <c r="F108" i="5"/>
  <c r="L81" i="5"/>
  <c r="N81" i="5"/>
  <c r="O81" i="5"/>
  <c r="G81" i="5"/>
  <c r="H81" i="5"/>
  <c r="G83" i="5"/>
  <c r="H83" i="5"/>
  <c r="L88" i="5"/>
  <c r="N88" i="5"/>
  <c r="O88" i="5"/>
  <c r="G88" i="5"/>
  <c r="H88" i="5"/>
  <c r="L80" i="5"/>
  <c r="N80" i="5"/>
  <c r="O80" i="5"/>
  <c r="G89" i="5"/>
  <c r="H89" i="5"/>
  <c r="L85" i="5"/>
  <c r="N85" i="5"/>
  <c r="O85" i="5"/>
  <c r="F107" i="5"/>
  <c r="G78" i="5"/>
  <c r="H78" i="5"/>
  <c r="L83" i="5"/>
  <c r="N83" i="5"/>
  <c r="O83" i="5"/>
  <c r="G76" i="5"/>
  <c r="H76" i="5"/>
  <c r="L87" i="5"/>
  <c r="N87" i="5"/>
  <c r="O87" i="5"/>
  <c r="G84" i="5"/>
  <c r="H84" i="5"/>
  <c r="L77" i="5"/>
  <c r="N77" i="5"/>
  <c r="O77" i="5"/>
  <c r="G86" i="5"/>
  <c r="H86" i="5"/>
  <c r="F109" i="5"/>
  <c r="F104" i="5"/>
  <c r="F105" i="5"/>
  <c r="L82" i="5"/>
  <c r="N82" i="5"/>
  <c r="O82" i="5"/>
  <c r="F106" i="5"/>
  <c r="F111" i="5"/>
  <c r="L76" i="5"/>
  <c r="N76" i="5"/>
  <c r="O76" i="5"/>
  <c r="G79" i="5"/>
  <c r="H79" i="5"/>
  <c r="D21" i="5"/>
  <c r="C21" i="5"/>
  <c r="F21" i="5"/>
  <c r="D22" i="5"/>
  <c r="C22" i="5"/>
  <c r="F22" i="5"/>
  <c r="D23" i="5"/>
  <c r="C23" i="5"/>
  <c r="H23" i="5"/>
  <c r="E65" i="5"/>
  <c r="M65" i="5"/>
  <c r="G23" i="5"/>
  <c r="D65" i="5"/>
  <c r="F23" i="5"/>
  <c r="D24" i="5"/>
  <c r="L65" i="5"/>
  <c r="N65" i="5"/>
  <c r="F92" i="5"/>
  <c r="G65" i="5"/>
  <c r="O65" i="5"/>
  <c r="H65" i="5"/>
  <c r="C24" i="5"/>
  <c r="F24" i="5"/>
  <c r="D25" i="5"/>
  <c r="C25" i="5"/>
  <c r="F25" i="5"/>
  <c r="D26" i="5"/>
  <c r="C26" i="5"/>
  <c r="F26" i="5"/>
  <c r="D27" i="5"/>
  <c r="C27" i="5"/>
  <c r="H27" i="5"/>
  <c r="E66" i="5"/>
  <c r="M66" i="5"/>
  <c r="G27" i="5"/>
  <c r="D66" i="5"/>
  <c r="F27" i="5"/>
  <c r="D28" i="5"/>
  <c r="L66" i="5"/>
  <c r="N66" i="5"/>
  <c r="F93" i="5"/>
  <c r="G66" i="5"/>
  <c r="O66" i="5"/>
  <c r="H66" i="5"/>
  <c r="C28" i="5"/>
  <c r="F28" i="5"/>
  <c r="D29" i="5"/>
  <c r="C29" i="5"/>
  <c r="F29" i="5"/>
  <c r="D30" i="5"/>
  <c r="C30" i="5"/>
  <c r="F30" i="5"/>
  <c r="D31" i="5"/>
  <c r="C31" i="5"/>
  <c r="H31" i="5"/>
  <c r="E67" i="5"/>
  <c r="M67" i="5"/>
  <c r="G31" i="5"/>
  <c r="D67" i="5"/>
  <c r="F31" i="5"/>
  <c r="D32" i="5"/>
  <c r="L67" i="5"/>
  <c r="N67" i="5"/>
  <c r="F94" i="5"/>
  <c r="G67" i="5"/>
  <c r="O67" i="5"/>
  <c r="H67" i="5"/>
  <c r="C32" i="5"/>
  <c r="F32" i="5"/>
  <c r="D33" i="5"/>
  <c r="C33" i="5"/>
  <c r="F33" i="5"/>
  <c r="D34" i="5"/>
  <c r="C34" i="5"/>
  <c r="F34" i="5"/>
  <c r="D35" i="5"/>
  <c r="C35" i="5"/>
  <c r="H35" i="5"/>
  <c r="E68" i="5"/>
  <c r="M68" i="5"/>
  <c r="G35" i="5"/>
  <c r="D68" i="5"/>
  <c r="F35" i="5"/>
  <c r="D36" i="5"/>
  <c r="L68" i="5"/>
  <c r="N68" i="5"/>
  <c r="F95" i="5"/>
  <c r="G68" i="5"/>
  <c r="O68" i="5"/>
  <c r="H68" i="5"/>
  <c r="C36" i="5"/>
  <c r="F36" i="5"/>
  <c r="D37" i="5"/>
  <c r="C37" i="5"/>
  <c r="F37" i="5"/>
  <c r="D38" i="5"/>
  <c r="C38" i="5"/>
  <c r="F38" i="5"/>
  <c r="D39" i="5"/>
  <c r="C39" i="5"/>
  <c r="H39" i="5"/>
  <c r="E69" i="5"/>
  <c r="M69" i="5"/>
  <c r="G39" i="5"/>
  <c r="D69" i="5"/>
  <c r="F39" i="5"/>
  <c r="F96" i="5"/>
  <c r="L69" i="5"/>
  <c r="N69" i="5"/>
  <c r="G69" i="5"/>
  <c r="D40" i="5"/>
  <c r="O69" i="5"/>
  <c r="C40" i="5"/>
  <c r="H69" i="5"/>
  <c r="F40" i="5"/>
  <c r="D41" i="5"/>
  <c r="C41" i="5"/>
  <c r="F41" i="5"/>
  <c r="D42" i="5"/>
  <c r="C42" i="5"/>
  <c r="F42" i="5"/>
  <c r="D43" i="5"/>
  <c r="C43" i="5"/>
  <c r="H43" i="5"/>
  <c r="E70" i="5"/>
  <c r="M70" i="5"/>
  <c r="G43" i="5"/>
  <c r="D70" i="5"/>
  <c r="F43" i="5"/>
  <c r="D44" i="5"/>
  <c r="L70" i="5"/>
  <c r="N70" i="5"/>
  <c r="O70" i="5"/>
  <c r="F97" i="5"/>
  <c r="G70" i="5"/>
  <c r="H70" i="5"/>
  <c r="C44" i="5"/>
  <c r="F44" i="5"/>
  <c r="D45" i="5"/>
  <c r="C45" i="5"/>
  <c r="F45" i="5"/>
  <c r="D46" i="5"/>
  <c r="C46" i="5"/>
  <c r="F46" i="5"/>
  <c r="D47" i="5"/>
  <c r="C47" i="5"/>
  <c r="H47" i="5"/>
  <c r="E71" i="5"/>
  <c r="M71" i="5"/>
  <c r="G47" i="5"/>
  <c r="D71" i="5"/>
  <c r="F47" i="5"/>
  <c r="D48" i="5"/>
  <c r="L71" i="5"/>
  <c r="N71" i="5"/>
  <c r="O71" i="5"/>
  <c r="F98" i="5"/>
  <c r="G71" i="5"/>
  <c r="H71" i="5"/>
  <c r="C48" i="5"/>
  <c r="F48" i="5"/>
  <c r="D49" i="5"/>
  <c r="C49" i="5"/>
  <c r="F49" i="5"/>
  <c r="D50" i="5"/>
  <c r="C50" i="5"/>
  <c r="F50" i="5"/>
  <c r="D51" i="5"/>
  <c r="C51" i="5"/>
  <c r="H51" i="5"/>
  <c r="E72" i="5"/>
  <c r="M72" i="5"/>
  <c r="G51" i="5"/>
  <c r="D72" i="5"/>
  <c r="F51" i="5"/>
  <c r="D52" i="5"/>
  <c r="L72" i="5"/>
  <c r="N72" i="5"/>
  <c r="O72" i="5"/>
  <c r="F99" i="5"/>
  <c r="G72" i="5"/>
  <c r="H72" i="5"/>
  <c r="C52" i="5"/>
  <c r="F52" i="5"/>
  <c r="D53" i="5"/>
  <c r="C53" i="5"/>
  <c r="F53" i="5"/>
  <c r="D54" i="5"/>
  <c r="C54" i="5"/>
  <c r="F54" i="5"/>
  <c r="D55" i="5"/>
  <c r="C55" i="5"/>
  <c r="H55" i="5"/>
  <c r="E73" i="5"/>
  <c r="M73" i="5"/>
  <c r="G55" i="5"/>
  <c r="D73" i="5"/>
  <c r="F55" i="5"/>
  <c r="D56" i="5"/>
  <c r="L73" i="5"/>
  <c r="N73" i="5"/>
  <c r="O73" i="5"/>
  <c r="F100" i="5"/>
  <c r="G73" i="5"/>
  <c r="H73" i="5"/>
  <c r="C56" i="5"/>
  <c r="F56" i="5"/>
  <c r="D57" i="5"/>
  <c r="C57" i="5"/>
  <c r="F57" i="5"/>
  <c r="D58" i="5"/>
  <c r="C58" i="5"/>
  <c r="F58" i="5"/>
  <c r="D59" i="5"/>
  <c r="C59" i="5"/>
  <c r="H59" i="5"/>
  <c r="E74" i="5"/>
  <c r="M74" i="5"/>
  <c r="G59" i="5"/>
  <c r="D74" i="5"/>
  <c r="F59" i="5"/>
  <c r="L74" i="5"/>
  <c r="N74" i="5"/>
  <c r="F101" i="5"/>
  <c r="G74" i="5"/>
  <c r="O74" i="5"/>
  <c r="O90" i="5"/>
  <c r="N90" i="5"/>
  <c r="H74" i="5"/>
  <c r="H90" i="5"/>
  <c r="G90" i="5"/>
  <c r="C3" i="6"/>
  <c r="F3" i="6"/>
  <c r="F9" i="6"/>
  <c r="F11" i="6"/>
  <c r="F12" i="6"/>
  <c r="I12" i="6"/>
  <c r="F13" i="6"/>
  <c r="I13" i="6"/>
  <c r="I15" i="6"/>
  <c r="J16" i="6"/>
  <c r="J17" i="6"/>
  <c r="K17" i="6"/>
  <c r="F19" i="6"/>
  <c r="L19" i="6"/>
  <c r="C20" i="6"/>
  <c r="D20" i="6"/>
  <c r="E20" i="6"/>
  <c r="F20" i="6"/>
  <c r="J20" i="6"/>
  <c r="C21" i="6"/>
  <c r="D21" i="6"/>
  <c r="E21" i="6"/>
  <c r="F21" i="6"/>
  <c r="C22" i="6"/>
  <c r="D22" i="6"/>
  <c r="E22" i="6"/>
  <c r="F22" i="6"/>
  <c r="C23" i="6"/>
  <c r="D23" i="6"/>
  <c r="E23" i="6"/>
  <c r="F23" i="6"/>
  <c r="G23" i="6"/>
  <c r="H23" i="6"/>
  <c r="I23" i="6"/>
  <c r="L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G27" i="6"/>
  <c r="H27" i="6"/>
  <c r="I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G31" i="6"/>
  <c r="H31" i="6"/>
  <c r="I31" i="6"/>
  <c r="C32" i="6"/>
  <c r="D32" i="6"/>
  <c r="E32" i="6"/>
  <c r="F32" i="6"/>
  <c r="C33" i="6"/>
  <c r="D33" i="6"/>
  <c r="E33" i="6"/>
  <c r="F33" i="6"/>
  <c r="C34" i="6"/>
  <c r="D34" i="6"/>
  <c r="E34" i="6"/>
  <c r="F34" i="6"/>
  <c r="C35" i="6"/>
  <c r="D35" i="6"/>
  <c r="E35" i="6"/>
  <c r="F35" i="6"/>
  <c r="G35" i="6"/>
  <c r="H35" i="6"/>
  <c r="I35" i="6"/>
  <c r="C36" i="6"/>
  <c r="D36" i="6"/>
  <c r="E36" i="6"/>
  <c r="F36" i="6"/>
  <c r="C37" i="6"/>
  <c r="D37" i="6"/>
  <c r="E37" i="6"/>
  <c r="F37" i="6"/>
  <c r="C38" i="6"/>
  <c r="D38" i="6"/>
  <c r="E38" i="6"/>
  <c r="F38" i="6"/>
  <c r="C39" i="6"/>
  <c r="D39" i="6"/>
  <c r="E39" i="6"/>
  <c r="F39" i="6"/>
  <c r="G39" i="6"/>
  <c r="H39" i="6"/>
  <c r="I39" i="6"/>
  <c r="C40" i="6"/>
  <c r="D40" i="6"/>
  <c r="E40" i="6"/>
  <c r="F40" i="6"/>
  <c r="C41" i="6"/>
  <c r="D41" i="6"/>
  <c r="E41" i="6"/>
  <c r="F41" i="6"/>
  <c r="C42" i="6"/>
  <c r="D42" i="6"/>
  <c r="E42" i="6"/>
  <c r="F42" i="6"/>
  <c r="C43" i="6"/>
  <c r="D43" i="6"/>
  <c r="E43" i="6"/>
  <c r="F43" i="6"/>
  <c r="G43" i="6"/>
  <c r="H43" i="6"/>
  <c r="I43" i="6"/>
  <c r="C44" i="6"/>
  <c r="D44" i="6"/>
  <c r="E44" i="6"/>
  <c r="F44" i="6"/>
  <c r="C45" i="6"/>
  <c r="D45" i="6"/>
  <c r="E45" i="6"/>
  <c r="F45" i="6"/>
  <c r="C46" i="6"/>
  <c r="D46" i="6"/>
  <c r="E46" i="6"/>
  <c r="F46" i="6"/>
  <c r="C47" i="6"/>
  <c r="D47" i="6"/>
  <c r="E47" i="6"/>
  <c r="F47" i="6"/>
  <c r="G47" i="6"/>
  <c r="H47" i="6"/>
  <c r="I47" i="6"/>
  <c r="C48" i="6"/>
  <c r="D48" i="6"/>
  <c r="E48" i="6"/>
  <c r="F48" i="6"/>
  <c r="C49" i="6"/>
  <c r="D49" i="6"/>
  <c r="E49" i="6"/>
  <c r="F49" i="6"/>
  <c r="C50" i="6"/>
  <c r="D50" i="6"/>
  <c r="E50" i="6"/>
  <c r="F50" i="6"/>
  <c r="C51" i="6"/>
  <c r="D51" i="6"/>
  <c r="E51" i="6"/>
  <c r="F51" i="6"/>
  <c r="G51" i="6"/>
  <c r="H51" i="6"/>
  <c r="I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G55" i="6"/>
  <c r="H55" i="6"/>
  <c r="I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G59" i="6"/>
  <c r="H59" i="6"/>
  <c r="I59" i="6"/>
  <c r="C65" i="6"/>
  <c r="D65" i="6"/>
  <c r="E65" i="6"/>
  <c r="F65" i="6"/>
  <c r="G65" i="6"/>
  <c r="H65" i="6"/>
  <c r="K65" i="6"/>
  <c r="L65" i="6"/>
  <c r="M65" i="6"/>
  <c r="N65" i="6"/>
  <c r="O65" i="6"/>
  <c r="C66" i="6"/>
  <c r="D66" i="6"/>
  <c r="E66" i="6"/>
  <c r="F66" i="6"/>
  <c r="G66" i="6"/>
  <c r="H66" i="6"/>
  <c r="K66" i="6"/>
  <c r="L66" i="6"/>
  <c r="M66" i="6"/>
  <c r="N66" i="6"/>
  <c r="O66" i="6"/>
  <c r="C67" i="6"/>
  <c r="D67" i="6"/>
  <c r="E67" i="6"/>
  <c r="F67" i="6"/>
  <c r="G67" i="6"/>
  <c r="H67" i="6"/>
  <c r="K67" i="6"/>
  <c r="L67" i="6"/>
  <c r="M67" i="6"/>
  <c r="N67" i="6"/>
  <c r="O67" i="6"/>
  <c r="C68" i="6"/>
  <c r="D68" i="6"/>
  <c r="E68" i="6"/>
  <c r="F68" i="6"/>
  <c r="G68" i="6"/>
  <c r="H68" i="6"/>
  <c r="K68" i="6"/>
  <c r="L68" i="6"/>
  <c r="M68" i="6"/>
  <c r="N68" i="6"/>
  <c r="O68" i="6"/>
  <c r="C69" i="6"/>
  <c r="D69" i="6"/>
  <c r="E69" i="6"/>
  <c r="F69" i="6"/>
  <c r="G69" i="6"/>
  <c r="H69" i="6"/>
  <c r="K69" i="6"/>
  <c r="L69" i="6"/>
  <c r="M69" i="6"/>
  <c r="N69" i="6"/>
  <c r="O69" i="6"/>
  <c r="C70" i="6"/>
  <c r="D70" i="6"/>
  <c r="E70" i="6"/>
  <c r="F70" i="6"/>
  <c r="G70" i="6"/>
  <c r="H70" i="6"/>
  <c r="K70" i="6"/>
  <c r="L70" i="6"/>
  <c r="M70" i="6"/>
  <c r="N70" i="6"/>
  <c r="O70" i="6"/>
  <c r="C71" i="6"/>
  <c r="D71" i="6"/>
  <c r="E71" i="6"/>
  <c r="F71" i="6"/>
  <c r="G71" i="6"/>
  <c r="H71" i="6"/>
  <c r="K71" i="6"/>
  <c r="L71" i="6"/>
  <c r="M71" i="6"/>
  <c r="N71" i="6"/>
  <c r="O71" i="6"/>
  <c r="C72" i="6"/>
  <c r="D72" i="6"/>
  <c r="E72" i="6"/>
  <c r="F72" i="6"/>
  <c r="G72" i="6"/>
  <c r="H72" i="6"/>
  <c r="K72" i="6"/>
  <c r="L72" i="6"/>
  <c r="M72" i="6"/>
  <c r="N72" i="6"/>
  <c r="O72" i="6"/>
  <c r="C73" i="6"/>
  <c r="D73" i="6"/>
  <c r="E73" i="6"/>
  <c r="F73" i="6"/>
  <c r="G73" i="6"/>
  <c r="H73" i="6"/>
  <c r="K73" i="6"/>
  <c r="L73" i="6"/>
  <c r="M73" i="6"/>
  <c r="N73" i="6"/>
  <c r="O73" i="6"/>
  <c r="C74" i="6"/>
  <c r="D74" i="6"/>
  <c r="E74" i="6"/>
  <c r="F74" i="6"/>
  <c r="G74" i="6"/>
  <c r="H74" i="6"/>
  <c r="K74" i="6"/>
  <c r="L74" i="6"/>
  <c r="M74" i="6"/>
  <c r="N74" i="6"/>
  <c r="O74" i="6"/>
  <c r="C75" i="6"/>
  <c r="F75" i="6"/>
  <c r="G75" i="6"/>
  <c r="H75" i="6"/>
  <c r="K75" i="6"/>
  <c r="L75" i="6"/>
  <c r="N75" i="6"/>
  <c r="O75" i="6"/>
  <c r="C76" i="6"/>
  <c r="F76" i="6"/>
  <c r="G76" i="6"/>
  <c r="H76" i="6"/>
  <c r="K76" i="6"/>
  <c r="L76" i="6"/>
  <c r="N76" i="6"/>
  <c r="O76" i="6"/>
  <c r="C77" i="6"/>
  <c r="F77" i="6"/>
  <c r="G77" i="6"/>
  <c r="H77" i="6"/>
  <c r="K77" i="6"/>
  <c r="L77" i="6"/>
  <c r="N77" i="6"/>
  <c r="O77" i="6"/>
  <c r="C78" i="6"/>
  <c r="F78" i="6"/>
  <c r="G78" i="6"/>
  <c r="H78" i="6"/>
  <c r="K78" i="6"/>
  <c r="L78" i="6"/>
  <c r="N78" i="6"/>
  <c r="O78" i="6"/>
  <c r="C79" i="6"/>
  <c r="F79" i="6"/>
  <c r="G79" i="6"/>
  <c r="H79" i="6"/>
  <c r="K79" i="6"/>
  <c r="L79" i="6"/>
  <c r="N79" i="6"/>
  <c r="O79" i="6"/>
  <c r="C80" i="6"/>
  <c r="F80" i="6"/>
  <c r="G80" i="6"/>
  <c r="H80" i="6"/>
  <c r="K80" i="6"/>
  <c r="L80" i="6"/>
  <c r="N80" i="6"/>
  <c r="O80" i="6"/>
  <c r="C81" i="6"/>
  <c r="F81" i="6"/>
  <c r="G81" i="6"/>
  <c r="H81" i="6"/>
  <c r="K81" i="6"/>
  <c r="L81" i="6"/>
  <c r="N81" i="6"/>
  <c r="O81" i="6"/>
  <c r="C82" i="6"/>
  <c r="F82" i="6"/>
  <c r="G82" i="6"/>
  <c r="H82" i="6"/>
  <c r="K82" i="6"/>
  <c r="L82" i="6"/>
  <c r="N82" i="6"/>
  <c r="O82" i="6"/>
  <c r="C83" i="6"/>
  <c r="F83" i="6"/>
  <c r="G83" i="6"/>
  <c r="H83" i="6"/>
  <c r="K83" i="6"/>
  <c r="L83" i="6"/>
  <c r="N83" i="6"/>
  <c r="O83" i="6"/>
  <c r="C84" i="6"/>
  <c r="F84" i="6"/>
  <c r="G84" i="6"/>
  <c r="H84" i="6"/>
  <c r="K84" i="6"/>
  <c r="L84" i="6"/>
  <c r="N84" i="6"/>
  <c r="O84" i="6"/>
  <c r="C85" i="6"/>
  <c r="F85" i="6"/>
  <c r="G85" i="6"/>
  <c r="H85" i="6"/>
  <c r="K85" i="6"/>
  <c r="L85" i="6"/>
  <c r="N85" i="6"/>
  <c r="O85" i="6"/>
  <c r="C86" i="6"/>
  <c r="F86" i="6"/>
  <c r="G86" i="6"/>
  <c r="H86" i="6"/>
  <c r="K86" i="6"/>
  <c r="L86" i="6"/>
  <c r="N86" i="6"/>
  <c r="O86" i="6"/>
  <c r="C87" i="6"/>
  <c r="F87" i="6"/>
  <c r="G87" i="6"/>
  <c r="H87" i="6"/>
  <c r="K87" i="6"/>
  <c r="L87" i="6"/>
  <c r="N87" i="6"/>
  <c r="O87" i="6"/>
  <c r="C88" i="6"/>
  <c r="F88" i="6"/>
  <c r="G88" i="6"/>
  <c r="H88" i="6"/>
  <c r="K88" i="6"/>
  <c r="L88" i="6"/>
  <c r="N88" i="6"/>
  <c r="O88" i="6"/>
  <c r="C89" i="6"/>
  <c r="F89" i="6"/>
  <c r="G89" i="6"/>
  <c r="H89" i="6"/>
  <c r="K89" i="6"/>
  <c r="L89" i="6"/>
  <c r="N89" i="6"/>
  <c r="O89" i="6"/>
  <c r="G90" i="6"/>
  <c r="H90" i="6"/>
  <c r="N90" i="6"/>
  <c r="O90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C23" i="7"/>
  <c r="E23" i="7"/>
  <c r="F23" i="7"/>
  <c r="G23" i="7"/>
  <c r="H23" i="7"/>
  <c r="I23" i="7"/>
  <c r="J23" i="7"/>
  <c r="K23" i="7"/>
  <c r="L23" i="7"/>
  <c r="M23" i="7"/>
  <c r="N23" i="7"/>
  <c r="C24" i="7"/>
  <c r="F24" i="7"/>
  <c r="G24" i="7"/>
  <c r="H24" i="7"/>
  <c r="I24" i="7"/>
  <c r="J24" i="7"/>
  <c r="K24" i="7"/>
  <c r="L24" i="7"/>
  <c r="M24" i="7"/>
  <c r="N24" i="7"/>
  <c r="C26" i="7"/>
  <c r="I26" i="7"/>
  <c r="L26" i="7"/>
  <c r="O26" i="7"/>
  <c r="C28" i="7"/>
  <c r="F28" i="7"/>
  <c r="G28" i="7"/>
  <c r="H28" i="7"/>
  <c r="I28" i="7"/>
  <c r="J28" i="7"/>
  <c r="K28" i="7"/>
  <c r="L28" i="7"/>
  <c r="M28" i="7"/>
  <c r="N28" i="7"/>
  <c r="O28" i="7"/>
  <c r="F30" i="7"/>
  <c r="G30" i="7"/>
  <c r="H30" i="7"/>
  <c r="I30" i="7"/>
  <c r="J30" i="7"/>
  <c r="K30" i="7"/>
  <c r="L30" i="7"/>
  <c r="M30" i="7"/>
  <c r="N30" i="7"/>
  <c r="O30" i="7"/>
  <c r="C31" i="7"/>
  <c r="F31" i="7"/>
  <c r="G31" i="7"/>
  <c r="H31" i="7"/>
  <c r="I31" i="7"/>
  <c r="J31" i="7"/>
  <c r="K31" i="7"/>
  <c r="L31" i="7"/>
  <c r="M31" i="7"/>
  <c r="N31" i="7"/>
  <c r="O31" i="7"/>
  <c r="F33" i="7"/>
  <c r="G33" i="7"/>
  <c r="H33" i="7"/>
  <c r="I33" i="7"/>
  <c r="J33" i="7"/>
  <c r="K33" i="7"/>
  <c r="L33" i="7"/>
  <c r="M33" i="7"/>
  <c r="N33" i="7"/>
  <c r="O33" i="7"/>
  <c r="C34" i="7"/>
  <c r="F34" i="7"/>
  <c r="G34" i="7"/>
  <c r="H34" i="7"/>
  <c r="I34" i="7"/>
  <c r="J34" i="7"/>
  <c r="K34" i="7"/>
  <c r="L34" i="7"/>
  <c r="M34" i="7"/>
  <c r="N34" i="7"/>
  <c r="O34" i="7"/>
  <c r="G36" i="7"/>
  <c r="H36" i="7"/>
  <c r="I36" i="7"/>
  <c r="J36" i="7"/>
  <c r="K36" i="7"/>
  <c r="L36" i="7"/>
  <c r="M36" i="7"/>
  <c r="N36" i="7"/>
  <c r="F37" i="7"/>
  <c r="G37" i="7"/>
  <c r="H37" i="7"/>
  <c r="I37" i="7"/>
  <c r="J37" i="7"/>
  <c r="K37" i="7"/>
  <c r="L37" i="7"/>
  <c r="M37" i="7"/>
  <c r="N37" i="7"/>
  <c r="C38" i="7"/>
  <c r="H38" i="7"/>
  <c r="K38" i="7"/>
  <c r="N38" i="7"/>
  <c r="F39" i="7"/>
  <c r="G39" i="7"/>
  <c r="H39" i="7"/>
  <c r="I39" i="7"/>
  <c r="J39" i="7"/>
  <c r="K39" i="7"/>
  <c r="L39" i="7"/>
  <c r="M39" i="7"/>
  <c r="N39" i="7"/>
  <c r="C42" i="7"/>
  <c r="E42" i="7"/>
  <c r="F42" i="7"/>
  <c r="G42" i="7"/>
  <c r="H42" i="7"/>
  <c r="I42" i="7"/>
  <c r="J42" i="7"/>
  <c r="K42" i="7"/>
  <c r="L42" i="7"/>
  <c r="M42" i="7"/>
  <c r="N42" i="7"/>
  <c r="O42" i="7"/>
  <c r="F44" i="7"/>
  <c r="G44" i="7"/>
  <c r="H44" i="7"/>
  <c r="I44" i="7"/>
  <c r="J44" i="7"/>
  <c r="K44" i="7"/>
  <c r="L44" i="7"/>
  <c r="M44" i="7"/>
  <c r="N44" i="7"/>
  <c r="O44" i="7"/>
  <c r="F45" i="7"/>
  <c r="G45" i="7"/>
  <c r="H45" i="7"/>
  <c r="I45" i="7"/>
  <c r="J45" i="7"/>
  <c r="K45" i="7"/>
  <c r="L45" i="7"/>
  <c r="M45" i="7"/>
  <c r="N45" i="7"/>
  <c r="O45" i="7"/>
</calcChain>
</file>

<file path=xl/sharedStrings.xml><?xml version="1.0" encoding="utf-8"?>
<sst xmlns="http://schemas.openxmlformats.org/spreadsheetml/2006/main" count="437" uniqueCount="87">
  <si>
    <t>LIBOR</t>
  </si>
  <si>
    <t>Markup</t>
  </si>
  <si>
    <t>Total</t>
  </si>
  <si>
    <t>Equity</t>
  </si>
  <si>
    <t>Outstanding Debt</t>
  </si>
  <si>
    <t>Escalable</t>
  </si>
  <si>
    <t>PKR / USD</t>
  </si>
  <si>
    <t>Principal</t>
  </si>
  <si>
    <t>Interest</t>
  </si>
  <si>
    <t>ROE</t>
  </si>
  <si>
    <t>Years</t>
  </si>
  <si>
    <t>IRR</t>
  </si>
  <si>
    <t>Installment</t>
  </si>
  <si>
    <t xml:space="preserve">Non-Escalable </t>
  </si>
  <si>
    <t>Tariff 
(Rs. / kWh)</t>
  </si>
  <si>
    <t>Tariff 
(USc / kWh)</t>
  </si>
  <si>
    <t>Levellized</t>
  </si>
  <si>
    <t>Debt</t>
  </si>
  <si>
    <t>Other Non-Escalable</t>
  </si>
  <si>
    <t>ROE DC</t>
  </si>
  <si>
    <t>Equity +ROE DC</t>
  </si>
  <si>
    <t>CAPEX</t>
  </si>
  <si>
    <t>Project Cost</t>
  </si>
  <si>
    <t>OPEX</t>
  </si>
  <si>
    <t>O&amp;M</t>
  </si>
  <si>
    <t>Energy Yield</t>
  </si>
  <si>
    <t>GWh / annum</t>
  </si>
  <si>
    <t>Financing Costs &amp; Economic Assumption</t>
  </si>
  <si>
    <t>Debt Repayment Plan</t>
  </si>
  <si>
    <t>Rs. / kWh</t>
  </si>
  <si>
    <t>Periods</t>
  </si>
  <si>
    <t>Tariff Table (for internal assessment)</t>
  </si>
  <si>
    <t>Tariff Table (for public announcement)</t>
  </si>
  <si>
    <t>Amount (in USD)</t>
  </si>
  <si>
    <t>EPC</t>
  </si>
  <si>
    <t>LC Confirmation</t>
  </si>
  <si>
    <t>SIDS</t>
  </si>
  <si>
    <t>Customs Duty on Imports</t>
  </si>
  <si>
    <t>Sub-total EPC</t>
  </si>
  <si>
    <t>Non-EPC Cost</t>
  </si>
  <si>
    <t>PDC</t>
  </si>
  <si>
    <t>Insurance</t>
  </si>
  <si>
    <t>IDC</t>
  </si>
  <si>
    <t>Financial Charges</t>
  </si>
  <si>
    <t xml:space="preserve">CAPEX </t>
  </si>
  <si>
    <t>%</t>
  </si>
  <si>
    <t xml:space="preserve">of </t>
  </si>
  <si>
    <t>Imported portion of EPC</t>
  </si>
  <si>
    <t>total EPC</t>
  </si>
  <si>
    <t>of Debt</t>
  </si>
  <si>
    <t>Same as FFCEL</t>
  </si>
  <si>
    <t>Same as FFCEK</t>
  </si>
  <si>
    <t>Based on a construction period of 18 months</t>
  </si>
  <si>
    <t>Feasibility Charges</t>
  </si>
  <si>
    <t>Consultancy</t>
  </si>
  <si>
    <t>Site Development</t>
  </si>
  <si>
    <t>Working Capital</t>
  </si>
  <si>
    <t>Project Management</t>
  </si>
  <si>
    <t>Insurance DC</t>
  </si>
  <si>
    <t>Based on a construction period of 9 months</t>
  </si>
  <si>
    <t>Production No.</t>
  </si>
  <si>
    <t>First Solar</t>
  </si>
  <si>
    <t>DACC</t>
  </si>
  <si>
    <t>Techaccess</t>
  </si>
  <si>
    <t xml:space="preserve">Roshan </t>
  </si>
  <si>
    <t>Kasoor</t>
  </si>
  <si>
    <t>Chau Saidan Shah</t>
  </si>
  <si>
    <t>Cholistan</t>
  </si>
  <si>
    <t>Tapal</t>
  </si>
  <si>
    <t>Gharo</t>
  </si>
  <si>
    <t>Company</t>
  </si>
  <si>
    <t>Location</t>
  </si>
  <si>
    <t>CF</t>
  </si>
  <si>
    <t>Kalar Kahar</t>
  </si>
  <si>
    <t>PIDS</t>
  </si>
  <si>
    <t>kWh / annum</t>
  </si>
  <si>
    <t>Draw Down Schedule</t>
  </si>
  <si>
    <t>As percentage of total costs</t>
  </si>
  <si>
    <t>EPC Offshore</t>
  </si>
  <si>
    <t>EPC onshore</t>
  </si>
  <si>
    <t xml:space="preserve">Total </t>
  </si>
  <si>
    <t>Total Funding required</t>
  </si>
  <si>
    <t>Accumaltive</t>
  </si>
  <si>
    <t>IDC b/f</t>
  </si>
  <si>
    <t>IDC payment</t>
  </si>
  <si>
    <t>IDC c/f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</si>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</sst>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$$-409]#,##0"/>
    <numFmt numFmtId="167" formatCode="_(* #,##0.0000_);_(* \(#,##0.0000\);_(* &quot;-&quot;_);_(@_)"/>
    <numFmt numFmtId="168" formatCode="_(* #,##0.0000_);_(* \(#,##0.0000\);_(* &quot;-&quot;??_);_(@_)"/>
    <numFmt numFmtId="169" formatCode="_(* #,##0.000_);_(* \(#,##0.000\);_(* &quot;-&quot;_);_(@_)"/>
    <numFmt numFmtId="170" formatCode="0.000%"/>
    <numFmt numFmtId="171" formatCode="_(* #,##0.0_);_(* \(#,##0.0\);_(* &quot;-&quot;??_);_(@_)"/>
    <numFmt numFmtId="172" formatCode="_(* #,##0_);_(* \(#,##0\);_(* &quot;-&quot;??_);_(@_)"/>
    <numFmt numFmtId="173" formatCode="0.0000"/>
    <numFmt numFmtId="174" formatCode="0.0%"/>
    <numFmt numFmtId="175" formatCode="_(* #,##0.0_);[Red]_(* \(#,##0.0\);_(* &quot;-&quot;??_);_(@_)"/>
    <numFmt numFmtId="176" formatCode="_(* #,##0_);[Red]_(* \(#,##0\);_(* &quot;-&quot;??_);_(@_)"/>
    <numFmt numFmtId="177" formatCode="0_);[Red]\(0\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0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53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1">
    <xf numFmtId="0" fontId="0" fillId="0" borderId="0" xfId="0"/>
    <xf numFmtId="164" fontId="0" fillId="0" borderId="0" xfId="1" applyFont="1"/>
    <xf numFmtId="165" fontId="0" fillId="0" borderId="0" xfId="0" applyNumberFormat="1"/>
    <xf numFmtId="167" fontId="0" fillId="0" borderId="0" xfId="1" applyNumberFormat="1" applyFont="1"/>
    <xf numFmtId="166" fontId="0" fillId="0" borderId="1" xfId="1" applyNumberFormat="1" applyFont="1" applyBorder="1"/>
    <xf numFmtId="0" fontId="0" fillId="0" borderId="1" xfId="0" applyBorder="1"/>
    <xf numFmtId="167" fontId="0" fillId="0" borderId="1" xfId="1" applyNumberFormat="1" applyFont="1" applyBorder="1"/>
    <xf numFmtId="168" fontId="0" fillId="0" borderId="1" xfId="0" applyNumberFormat="1" applyBorder="1"/>
    <xf numFmtId="167" fontId="0" fillId="0" borderId="1" xfId="0" applyNumberFormat="1" applyBorder="1"/>
    <xf numFmtId="0" fontId="4" fillId="0" borderId="0" xfId="0" applyFont="1"/>
    <xf numFmtId="10" fontId="0" fillId="2" borderId="2" xfId="1" applyNumberFormat="1" applyFont="1" applyFill="1" applyBorder="1"/>
    <xf numFmtId="10" fontId="0" fillId="2" borderId="3" xfId="2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14" xfId="1" applyFont="1" applyBorder="1" applyAlignment="1">
      <alignment horizontal="left" indent="1"/>
    </xf>
    <xf numFmtId="164" fontId="0" fillId="0" borderId="0" xfId="1" applyFont="1" applyBorder="1"/>
    <xf numFmtId="164" fontId="0" fillId="0" borderId="15" xfId="1" applyFont="1" applyBorder="1"/>
    <xf numFmtId="10" fontId="0" fillId="0" borderId="0" xfId="2" applyNumberFormat="1" applyFont="1" applyBorder="1"/>
    <xf numFmtId="9" fontId="0" fillId="2" borderId="0" xfId="1" applyNumberFormat="1" applyFont="1" applyFill="1" applyBorder="1"/>
    <xf numFmtId="164" fontId="0" fillId="0" borderId="11" xfId="1" applyFont="1" applyBorder="1"/>
    <xf numFmtId="10" fontId="0" fillId="0" borderId="12" xfId="2" applyNumberFormat="1" applyFont="1" applyBorder="1"/>
    <xf numFmtId="164" fontId="0" fillId="0" borderId="12" xfId="1" applyFont="1" applyBorder="1"/>
    <xf numFmtId="166" fontId="0" fillId="0" borderId="15" xfId="1" applyNumberFormat="1" applyFont="1" applyBorder="1"/>
    <xf numFmtId="164" fontId="0" fillId="0" borderId="0" xfId="1" applyFont="1" applyBorder="1" applyAlignment="1">
      <alignment horizontal="left" indent="1"/>
    </xf>
    <xf numFmtId="164" fontId="4" fillId="0" borderId="0" xfId="1" applyFont="1" applyBorder="1"/>
    <xf numFmtId="166" fontId="4" fillId="0" borderId="15" xfId="1" applyNumberFormat="1" applyFont="1" applyBorder="1"/>
    <xf numFmtId="164" fontId="4" fillId="0" borderId="14" xfId="1" applyFont="1" applyBorder="1" applyAlignment="1">
      <alignment horizontal="left"/>
    </xf>
    <xf numFmtId="0" fontId="4" fillId="0" borderId="8" xfId="0" applyFont="1" applyBorder="1"/>
    <xf numFmtId="164" fontId="4" fillId="0" borderId="14" xfId="1" applyFont="1" applyBorder="1" applyAlignment="1">
      <alignment horizontal="left" indent="1"/>
    </xf>
    <xf numFmtId="10" fontId="4" fillId="0" borderId="0" xfId="2" applyNumberFormat="1" applyFont="1" applyBorder="1"/>
    <xf numFmtId="164" fontId="4" fillId="0" borderId="0" xfId="1" applyFont="1"/>
    <xf numFmtId="169" fontId="0" fillId="0" borderId="8" xfId="1" applyNumberFormat="1" applyFont="1" applyBorder="1"/>
    <xf numFmtId="169" fontId="0" fillId="0" borderId="9" xfId="1" applyNumberFormat="1" applyFont="1" applyBorder="1"/>
    <xf numFmtId="169" fontId="0" fillId="0" borderId="10" xfId="1" applyNumberFormat="1" applyFont="1" applyBorder="1"/>
    <xf numFmtId="169" fontId="0" fillId="0" borderId="14" xfId="1" applyNumberFormat="1" applyFont="1" applyBorder="1"/>
    <xf numFmtId="169" fontId="0" fillId="0" borderId="0" xfId="1" applyNumberFormat="1" applyFont="1" applyBorder="1"/>
    <xf numFmtId="169" fontId="0" fillId="0" borderId="15" xfId="1" applyNumberFormat="1" applyFont="1" applyBorder="1"/>
    <xf numFmtId="169" fontId="0" fillId="0" borderId="11" xfId="1" applyNumberFormat="1" applyFont="1" applyBorder="1"/>
    <xf numFmtId="169" fontId="0" fillId="0" borderId="12" xfId="1" applyNumberFormat="1" applyFont="1" applyBorder="1"/>
    <xf numFmtId="169" fontId="0" fillId="0" borderId="13" xfId="1" applyNumberFormat="1" applyFont="1" applyBorder="1"/>
    <xf numFmtId="164" fontId="4" fillId="0" borderId="1" xfId="1" applyFont="1" applyBorder="1"/>
    <xf numFmtId="166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/>
    <xf numFmtId="0" fontId="5" fillId="0" borderId="0" xfId="0" applyFont="1"/>
    <xf numFmtId="164" fontId="0" fillId="2" borderId="13" xfId="1" applyFont="1" applyFill="1" applyBorder="1"/>
    <xf numFmtId="166" fontId="0" fillId="2" borderId="15" xfId="1" applyNumberFormat="1" applyFont="1" applyFill="1" applyBorder="1"/>
    <xf numFmtId="166" fontId="0" fillId="2" borderId="10" xfId="1" applyNumberFormat="1" applyFont="1" applyFill="1" applyBorder="1"/>
    <xf numFmtId="0" fontId="0" fillId="0" borderId="14" xfId="0" applyBorder="1"/>
    <xf numFmtId="9" fontId="0" fillId="2" borderId="15" xfId="1" applyNumberFormat="1" applyFont="1" applyFill="1" applyBorder="1"/>
    <xf numFmtId="0" fontId="0" fillId="0" borderId="11" xfId="0" applyBorder="1"/>
    <xf numFmtId="9" fontId="0" fillId="2" borderId="13" xfId="0" applyNumberFormat="1" applyFill="1" applyBorder="1"/>
    <xf numFmtId="0" fontId="0" fillId="0" borderId="5" xfId="0" applyBorder="1"/>
    <xf numFmtId="166" fontId="0" fillId="2" borderId="7" xfId="1" applyNumberFormat="1" applyFont="1" applyFill="1" applyBorder="1"/>
    <xf numFmtId="0" fontId="0" fillId="0" borderId="5" xfId="0" applyBorder="1" applyAlignment="1">
      <alignment horizontal="left" indent="1"/>
    </xf>
    <xf numFmtId="164" fontId="0" fillId="2" borderId="7" xfId="1" applyFont="1" applyFill="1" applyBorder="1"/>
    <xf numFmtId="164" fontId="0" fillId="0" borderId="10" xfId="1" applyFont="1" applyBorder="1"/>
    <xf numFmtId="164" fontId="4" fillId="0" borderId="15" xfId="1" applyFont="1" applyBorder="1"/>
    <xf numFmtId="0" fontId="0" fillId="0" borderId="15" xfId="0" applyBorder="1"/>
    <xf numFmtId="0" fontId="4" fillId="0" borderId="11" xfId="0" applyFont="1" applyBorder="1"/>
    <xf numFmtId="164" fontId="4" fillId="0" borderId="13" xfId="1" applyFont="1" applyBorder="1"/>
    <xf numFmtId="0" fontId="4" fillId="0" borderId="14" xfId="0" applyFont="1" applyBorder="1" applyAlignment="1">
      <alignment horizontal="left" indent="1"/>
    </xf>
    <xf numFmtId="10" fontId="0" fillId="2" borderId="0" xfId="2" applyNumberFormat="1" applyFont="1" applyFill="1"/>
    <xf numFmtId="0" fontId="0" fillId="0" borderId="0" xfId="0" applyAlignment="1">
      <alignment horizontal="center"/>
    </xf>
    <xf numFmtId="10" fontId="0" fillId="2" borderId="0" xfId="1" applyNumberFormat="1" applyFont="1" applyFill="1"/>
    <xf numFmtId="9" fontId="0" fillId="2" borderId="0" xfId="0" applyNumberFormat="1" applyFill="1"/>
    <xf numFmtId="164" fontId="0" fillId="0" borderId="0" xfId="0" applyNumberFormat="1"/>
    <xf numFmtId="170" fontId="0" fillId="0" borderId="0" xfId="2" applyNumberFormat="1" applyFont="1"/>
    <xf numFmtId="168" fontId="0" fillId="0" borderId="0" xfId="0" applyNumberFormat="1"/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9" fontId="0" fillId="0" borderId="0" xfId="0" applyNumberFormat="1"/>
    <xf numFmtId="10" fontId="0" fillId="0" borderId="0" xfId="0" applyNumberFormat="1"/>
    <xf numFmtId="170" fontId="0" fillId="0" borderId="0" xfId="0" applyNumberFormat="1"/>
    <xf numFmtId="167" fontId="0" fillId="0" borderId="0" xfId="0" applyNumberFormat="1"/>
    <xf numFmtId="169" fontId="0" fillId="0" borderId="0" xfId="0" applyNumberFormat="1"/>
    <xf numFmtId="2" fontId="0" fillId="0" borderId="0" xfId="0" applyNumberFormat="1"/>
    <xf numFmtId="9" fontId="0" fillId="0" borderId="0" xfId="2" applyFont="1"/>
    <xf numFmtId="10" fontId="0" fillId="0" borderId="0" xfId="2" applyNumberFormat="1" applyFont="1"/>
    <xf numFmtId="171" fontId="0" fillId="0" borderId="0" xfId="407" applyNumberFormat="1" applyFont="1"/>
    <xf numFmtId="172" fontId="0" fillId="0" borderId="0" xfId="407" applyNumberFormat="1" applyFont="1"/>
    <xf numFmtId="173" fontId="0" fillId="0" borderId="0" xfId="0" applyNumberFormat="1"/>
    <xf numFmtId="173" fontId="4" fillId="3" borderId="0" xfId="0" applyNumberFormat="1" applyFont="1" applyFill="1"/>
    <xf numFmtId="167" fontId="4" fillId="3" borderId="0" xfId="0" applyNumberFormat="1" applyFont="1" applyFill="1"/>
    <xf numFmtId="172" fontId="0" fillId="0" borderId="0" xfId="0" applyNumberFormat="1"/>
    <xf numFmtId="0" fontId="4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0" fontId="4" fillId="0" borderId="0" xfId="0" applyNumberFormat="1" applyFont="1" applyAlignment="1">
      <alignment horizontal="center"/>
    </xf>
    <xf numFmtId="174" fontId="0" fillId="0" borderId="0" xfId="2" applyNumberFormat="1" applyFont="1"/>
    <xf numFmtId="173" fontId="0" fillId="0" borderId="0" xfId="2" applyNumberFormat="1" applyFont="1"/>
    <xf numFmtId="0" fontId="9" fillId="0" borderId="16" xfId="0" applyNumberFormat="1" applyFont="1" applyFill="1" applyBorder="1"/>
    <xf numFmtId="177" fontId="9" fillId="0" borderId="16" xfId="0" applyNumberFormat="1" applyFont="1" applyFill="1" applyBorder="1"/>
    <xf numFmtId="175" fontId="0" fillId="0" borderId="0" xfId="0" applyNumberFormat="1" applyFont="1" applyFill="1" applyBorder="1"/>
    <xf numFmtId="176" fontId="0" fillId="0" borderId="0" xfId="0" applyNumberFormat="1" applyFont="1" applyFill="1" applyBorder="1"/>
    <xf numFmtId="9" fontId="9" fillId="0" borderId="1" xfId="2" applyNumberFormat="1" applyFont="1" applyFill="1" applyBorder="1"/>
    <xf numFmtId="10" fontId="0" fillId="5" borderId="0" xfId="2" applyNumberFormat="1" applyFont="1" applyFill="1" applyBorder="1" applyProtection="1">
      <protection locked="0"/>
    </xf>
    <xf numFmtId="9" fontId="9" fillId="0" borderId="0" xfId="2" applyNumberFormat="1" applyFont="1" applyFill="1" applyBorder="1"/>
    <xf numFmtId="164" fontId="4" fillId="0" borderId="6" xfId="0" applyNumberFormat="1" applyFont="1" applyBorder="1"/>
    <xf numFmtId="164" fontId="0" fillId="0" borderId="9" xfId="0" applyNumberFormat="1" applyBorder="1"/>
    <xf numFmtId="0" fontId="0" fillId="0" borderId="0" xfId="0" applyBorder="1"/>
    <xf numFmtId="164" fontId="0" fillId="0" borderId="0" xfId="0" applyNumberFormat="1" applyBorder="1"/>
    <xf numFmtId="0" fontId="0" fillId="0" borderId="12" xfId="0" applyBorder="1"/>
    <xf numFmtId="164" fontId="0" fillId="0" borderId="12" xfId="0" applyNumberFormat="1" applyBorder="1"/>
    <xf numFmtId="0" fontId="0" fillId="0" borderId="13" xfId="0" applyBorder="1"/>
    <xf numFmtId="175" fontId="6" fillId="4" borderId="17" xfId="0" applyNumberFormat="1" applyFont="1" applyFill="1" applyBorder="1"/>
    <xf numFmtId="175" fontId="7" fillId="4" borderId="9" xfId="0" applyNumberFormat="1" applyFont="1" applyFill="1" applyBorder="1"/>
    <xf numFmtId="176" fontId="7" fillId="4" borderId="9" xfId="0" applyNumberFormat="1" applyFont="1" applyFill="1" applyBorder="1"/>
    <xf numFmtId="176" fontId="7" fillId="4" borderId="10" xfId="0" applyNumberFormat="1" applyFont="1" applyFill="1" applyBorder="1"/>
    <xf numFmtId="175" fontId="7" fillId="4" borderId="14" xfId="0" applyNumberFormat="1" applyFont="1" applyFill="1" applyBorder="1"/>
    <xf numFmtId="175" fontId="7" fillId="4" borderId="0" xfId="0" applyNumberFormat="1" applyFont="1" applyFill="1" applyBorder="1"/>
    <xf numFmtId="176" fontId="8" fillId="4" borderId="0" xfId="0" applyNumberFormat="1" applyFont="1" applyFill="1" applyBorder="1"/>
    <xf numFmtId="176" fontId="8" fillId="4" borderId="15" xfId="0" applyNumberFormat="1" applyFont="1" applyFill="1" applyBorder="1"/>
    <xf numFmtId="175" fontId="9" fillId="0" borderId="18" xfId="0" applyNumberFormat="1" applyFont="1" applyFill="1" applyBorder="1"/>
    <xf numFmtId="177" fontId="9" fillId="0" borderId="19" xfId="0" applyNumberFormat="1" applyFont="1" applyFill="1" applyBorder="1"/>
    <xf numFmtId="175" fontId="0" fillId="0" borderId="14" xfId="0" applyNumberFormat="1" applyFont="1" applyFill="1" applyBorder="1"/>
    <xf numFmtId="176" fontId="0" fillId="0" borderId="15" xfId="0" applyNumberFormat="1" applyFont="1" applyFill="1" applyBorder="1"/>
    <xf numFmtId="10" fontId="0" fillId="5" borderId="15" xfId="2" applyNumberFormat="1" applyFont="1" applyFill="1" applyBorder="1" applyProtection="1">
      <protection locked="0"/>
    </xf>
    <xf numFmtId="0" fontId="4" fillId="0" borderId="14" xfId="0" applyFont="1" applyBorder="1"/>
    <xf numFmtId="164" fontId="4" fillId="0" borderId="0" xfId="0" applyNumberFormat="1" applyFont="1" applyBorder="1"/>
    <xf numFmtId="0" fontId="4" fillId="0" borderId="0" xfId="0" applyFont="1" applyBorder="1"/>
    <xf numFmtId="0" fontId="4" fillId="0" borderId="7" xfId="0" applyFont="1" applyBorder="1"/>
    <xf numFmtId="164" fontId="0" fillId="0" borderId="15" xfId="0" applyNumberFormat="1" applyBorder="1"/>
    <xf numFmtId="164" fontId="4" fillId="0" borderId="7" xfId="0" applyNumberFormat="1" applyFont="1" applyBorder="1"/>
    <xf numFmtId="9" fontId="0" fillId="0" borderId="0" xfId="0" applyNumberFormat="1" applyBorder="1"/>
    <xf numFmtId="164" fontId="4" fillId="0" borderId="12" xfId="0" applyNumberFormat="1" applyFont="1" applyBorder="1"/>
    <xf numFmtId="164" fontId="0" fillId="0" borderId="13" xfId="0" applyNumberFormat="1" applyBorder="1"/>
    <xf numFmtId="164" fontId="4" fillId="0" borderId="13" xfId="0" applyNumberFormat="1" applyFont="1" applyBorder="1"/>
    <xf numFmtId="164" fontId="0" fillId="0" borderId="14" xfId="0" applyNumberFormat="1" applyBorder="1"/>
    <xf numFmtId="10" fontId="0" fillId="0" borderId="15" xfId="0" applyNumberFormat="1" applyBorder="1"/>
    <xf numFmtId="164" fontId="0" fillId="0" borderId="11" xfId="0" applyNumberFormat="1" applyBorder="1"/>
    <xf numFmtId="10" fontId="0" fillId="0" borderId="13" xfId="0" applyNumberFormat="1" applyBorder="1"/>
    <xf numFmtId="166" fontId="0" fillId="0" borderId="15" xfId="0" applyNumberFormat="1" applyBorder="1"/>
    <xf numFmtId="9" fontId="0" fillId="0" borderId="15" xfId="0" applyNumberFormat="1" applyBorder="1"/>
    <xf numFmtId="9" fontId="0" fillId="0" borderId="13" xfId="0" applyNumberFormat="1" applyBorder="1"/>
    <xf numFmtId="164" fontId="0" fillId="0" borderId="7" xfId="0" applyNumberFormat="1" applyBorder="1"/>
    <xf numFmtId="10" fontId="0" fillId="0" borderId="10" xfId="0" applyNumberFormat="1" applyBorder="1"/>
    <xf numFmtId="166" fontId="0" fillId="0" borderId="13" xfId="0" applyNumberFormat="1" applyBorder="1"/>
    <xf numFmtId="164" fontId="0" fillId="0" borderId="5" xfId="0" applyNumberFormat="1" applyBorder="1"/>
    <xf numFmtId="0" fontId="0" fillId="0" borderId="7" xfId="0" applyBorder="1"/>
    <xf numFmtId="166" fontId="0" fillId="0" borderId="0" xfId="0" applyNumberFormat="1" applyBorder="1"/>
    <xf numFmtId="169" fontId="0" fillId="0" borderId="0" xfId="0" applyNumberFormat="1" applyBorder="1"/>
    <xf numFmtId="169" fontId="0" fillId="0" borderId="15" xfId="0" applyNumberFormat="1" applyBorder="1"/>
    <xf numFmtId="166" fontId="0" fillId="0" borderId="12" xfId="0" applyNumberFormat="1" applyBorder="1"/>
    <xf numFmtId="169" fontId="0" fillId="0" borderId="12" xfId="0" applyNumberFormat="1" applyBorder="1"/>
    <xf numFmtId="169" fontId="0" fillId="0" borderId="13" xfId="0" applyNumberFormat="1" applyBorder="1"/>
    <xf numFmtId="164" fontId="4" fillId="0" borderId="8" xfId="0" applyNumberFormat="1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4" fillId="0" borderId="14" xfId="0" applyNumberFormat="1" applyFont="1" applyBorder="1"/>
    <xf numFmtId="166" fontId="4" fillId="0" borderId="0" xfId="0" applyNumberFormat="1" applyFont="1" applyBorder="1"/>
    <xf numFmtId="166" fontId="4" fillId="0" borderId="15" xfId="0" applyNumberFormat="1" applyFont="1" applyBorder="1"/>
    <xf numFmtId="168" fontId="0" fillId="0" borderId="0" xfId="0" applyNumberFormat="1" applyBorder="1"/>
    <xf numFmtId="168" fontId="0" fillId="0" borderId="15" xfId="0" applyNumberFormat="1" applyBorder="1"/>
    <xf numFmtId="167" fontId="4" fillId="3" borderId="12" xfId="0" applyNumberFormat="1" applyFont="1" applyFill="1" applyBorder="1"/>
    <xf numFmtId="167" fontId="4" fillId="3" borderId="13" xfId="0" applyNumberFormat="1" applyFont="1" applyFill="1" applyBorder="1"/>
    <xf numFmtId="0" fontId="4" fillId="0" borderId="9" xfId="0" applyFont="1" applyBorder="1"/>
    <xf numFmtId="0" fontId="4" fillId="0" borderId="10" xfId="0" applyFont="1" applyBorder="1"/>
    <xf numFmtId="164" fontId="4" fillId="0" borderId="15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2" xfId="0" applyFont="1" applyBorder="1"/>
    <xf numFmtId="167" fontId="4" fillId="0" borderId="12" xfId="0" applyNumberFormat="1" applyFont="1" applyBorder="1"/>
    <xf numFmtId="167" fontId="4" fillId="0" borderId="13" xfId="0" applyNumberFormat="1" applyFont="1" applyBorder="1"/>
    <xf numFmtId="164" fontId="4" fillId="0" borderId="10" xfId="1" applyFont="1" applyBorder="1"/>
    <xf numFmtId="0" fontId="4" fillId="0" borderId="10" xfId="0" applyFont="1" applyBorder="1" applyAlignment="1">
      <alignment horizontal="right"/>
    </xf>
    <xf numFmtId="164" fontId="4" fillId="0" borderId="11" xfId="0" applyNumberFormat="1" applyFont="1" applyBorder="1"/>
    <xf numFmtId="164" fontId="4" fillId="0" borderId="20" xfId="0" applyNumberFormat="1" applyFont="1" applyBorder="1"/>
    <xf numFmtId="9" fontId="0" fillId="5" borderId="0" xfId="2" applyNumberFormat="1" applyFont="1" applyFill="1" applyBorder="1" applyProtection="1">
      <protection locked="0"/>
    </xf>
    <xf numFmtId="9" fontId="0" fillId="0" borderId="9" xfId="2" applyFont="1" applyBorder="1"/>
    <xf numFmtId="9" fontId="0" fillId="0" borderId="10" xfId="2" applyFont="1" applyBorder="1"/>
    <xf numFmtId="9" fontId="0" fillId="0" borderId="12" xfId="2" applyFont="1" applyBorder="1"/>
    <xf numFmtId="9" fontId="0" fillId="0" borderId="13" xfId="2" applyFont="1" applyBorder="1"/>
    <xf numFmtId="164" fontId="4" fillId="0" borderId="2" xfId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center" vertical="center"/>
    </xf>
    <xf numFmtId="166" fontId="4" fillId="0" borderId="3" xfId="1" applyNumberFormat="1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0" borderId="12" xfId="1" applyNumberFormat="1" applyFont="1" applyBorder="1" applyAlignment="1">
      <alignment horizontal="center" vertical="center"/>
    </xf>
    <xf numFmtId="166" fontId="4" fillId="0" borderId="13" xfId="1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64" fontId="4" fillId="0" borderId="2" xfId="1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4" fillId="0" borderId="4" xfId="1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/>
    </xf>
    <xf numFmtId="164" fontId="4" fillId="0" borderId="7" xfId="1" applyFont="1" applyBorder="1" applyAlignment="1">
      <alignment horizontal="center" vertical="center"/>
    </xf>
  </cellXfs>
  <cellStyles count="530">
    <cellStyle name="Comma" xfId="407" builtinId="3"/>
    <cellStyle name="Comma [0]" xfId="1" builtinId="6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Normal" xfId="0" builtinId="0"/>
    <cellStyle name="Percent" xfId="2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alaslam/Documents/Data/sapphire/FiT/Upfront%20Tariff%20(v.6)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c Wind FM"/>
      <sheetName val="Drawdown"/>
      <sheetName val="PKR - Upfront Tariff"/>
      <sheetName val="USD - Upfront Tariff"/>
    </sheetNames>
    <sheetDataSet>
      <sheetData sheetId="0">
        <row r="3">
          <cell r="F3">
            <v>16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1"/>
  <sheetViews>
    <sheetView workbookViewId="0">
      <selection activeCell="F115" sqref="A1:XFD1048576"/>
    </sheetView>
  </sheetViews>
  <sheetFormatPr baseColWidth="10" defaultColWidth="11" defaultRowHeight="15" x14ac:dyDescent="0"/>
  <cols>
    <col min="1" max="1" width="3.1640625" customWidth="1"/>
    <col min="3" max="3" width="14.1640625" bestFit="1" customWidth="1"/>
    <col min="4" max="4" width="15.83203125" bestFit="1" customWidth="1"/>
    <col min="5" max="5" width="15.1640625" bestFit="1" customWidth="1"/>
    <col min="6" max="6" width="17.6640625" customWidth="1"/>
    <col min="7" max="7" width="10.5" bestFit="1" customWidth="1"/>
    <col min="8" max="8" width="30.5" bestFit="1" customWidth="1"/>
    <col min="9" max="9" width="16.5" bestFit="1" customWidth="1"/>
    <col min="10" max="10" width="19.6640625" customWidth="1"/>
    <col min="11" max="11" width="21" bestFit="1" customWidth="1"/>
    <col min="12" max="12" width="18.6640625" bestFit="1" customWidth="1"/>
    <col min="15" max="15" width="11.6640625" customWidth="1"/>
  </cols>
  <sheetData>
    <row r="1" spans="2:13">
      <c r="H1">
        <f>1*8760*0.165</f>
        <v>1445.4</v>
      </c>
    </row>
    <row r="2" spans="2:13">
      <c r="B2" s="9" t="s">
        <v>21</v>
      </c>
      <c r="E2" s="9" t="s">
        <v>23</v>
      </c>
      <c r="H2" s="9" t="s">
        <v>44</v>
      </c>
      <c r="I2" s="31" t="s">
        <v>33</v>
      </c>
      <c r="J2" s="63" t="s">
        <v>45</v>
      </c>
      <c r="K2" s="63" t="s">
        <v>46</v>
      </c>
    </row>
    <row r="3" spans="2:13">
      <c r="B3" s="12" t="s">
        <v>22</v>
      </c>
      <c r="C3" s="47">
        <v>3478848</v>
      </c>
      <c r="E3" s="52" t="s">
        <v>24</v>
      </c>
      <c r="F3" s="53">
        <f>L23</f>
        <v>78136.298272</v>
      </c>
      <c r="H3" s="12" t="s">
        <v>34</v>
      </c>
      <c r="I3" s="56">
        <v>2800000</v>
      </c>
    </row>
    <row r="4" spans="2:13">
      <c r="B4" s="48" t="s">
        <v>17</v>
      </c>
      <c r="C4" s="49">
        <v>0.75</v>
      </c>
      <c r="H4" s="48" t="s">
        <v>35</v>
      </c>
      <c r="I4" s="17">
        <f>I3*80%*J4</f>
        <v>33600</v>
      </c>
      <c r="J4" s="62">
        <v>1.4999999999999999E-2</v>
      </c>
      <c r="K4" t="s">
        <v>47</v>
      </c>
    </row>
    <row r="5" spans="2:13">
      <c r="B5" s="50" t="s">
        <v>3</v>
      </c>
      <c r="C5" s="51">
        <f>1-C4</f>
        <v>0.25</v>
      </c>
      <c r="E5" s="9" t="s">
        <v>25</v>
      </c>
      <c r="H5" s="48" t="s">
        <v>36</v>
      </c>
      <c r="I5" s="17">
        <f>I3*80%*J5</f>
        <v>20160</v>
      </c>
      <c r="J5" s="62">
        <v>8.9999999999999993E-3</v>
      </c>
      <c r="K5" t="s">
        <v>47</v>
      </c>
    </row>
    <row r="6" spans="2:13">
      <c r="E6" s="54" t="s">
        <v>26</v>
      </c>
      <c r="F6" s="55">
        <f>H1*1000</f>
        <v>1445400</v>
      </c>
      <c r="H6" s="48" t="s">
        <v>37</v>
      </c>
      <c r="I6" s="17">
        <f>I3*J6*80%</f>
        <v>0</v>
      </c>
      <c r="J6" s="65">
        <v>0</v>
      </c>
      <c r="K6" t="s">
        <v>47</v>
      </c>
    </row>
    <row r="7" spans="2:13">
      <c r="B7" s="9" t="s">
        <v>27</v>
      </c>
      <c r="H7" s="61" t="s">
        <v>38</v>
      </c>
      <c r="I7" s="57">
        <f>SUM(I3:I6)</f>
        <v>2853760</v>
      </c>
    </row>
    <row r="8" spans="2:13">
      <c r="B8" s="28" t="s">
        <v>17</v>
      </c>
      <c r="C8" s="13"/>
      <c r="D8" s="13"/>
      <c r="E8" s="13"/>
      <c r="F8" s="14"/>
      <c r="H8" s="48"/>
      <c r="I8" s="58"/>
    </row>
    <row r="9" spans="2:13" s="1" customFormat="1">
      <c r="B9" s="15" t="s">
        <v>0</v>
      </c>
      <c r="C9" s="10">
        <v>9.1999999999999998E-3</v>
      </c>
      <c r="D9" s="16"/>
      <c r="E9" s="25" t="s">
        <v>17</v>
      </c>
      <c r="F9" s="26">
        <f>C3*C4</f>
        <v>2609136</v>
      </c>
      <c r="H9" s="48" t="s">
        <v>39</v>
      </c>
      <c r="I9" s="17">
        <f>M15</f>
        <v>286000</v>
      </c>
      <c r="J9" s="1" t="s">
        <v>50</v>
      </c>
      <c r="L9" s="48" t="s">
        <v>39</v>
      </c>
    </row>
    <row r="10" spans="2:13" s="1" customFormat="1">
      <c r="B10" s="15" t="s">
        <v>1</v>
      </c>
      <c r="C10" s="11">
        <v>4.5999999999999999E-2</v>
      </c>
      <c r="D10" s="16"/>
      <c r="E10" s="16"/>
      <c r="F10" s="17"/>
      <c r="H10" s="48" t="s">
        <v>40</v>
      </c>
      <c r="I10" s="17">
        <v>60000</v>
      </c>
      <c r="J10" s="1" t="s">
        <v>51</v>
      </c>
      <c r="L10" s="1" t="s">
        <v>53</v>
      </c>
      <c r="M10" s="1">
        <v>50000</v>
      </c>
    </row>
    <row r="11" spans="2:13" s="1" customFormat="1">
      <c r="B11" s="29" t="s">
        <v>2</v>
      </c>
      <c r="C11" s="30">
        <f>SUM(C9:C10)</f>
        <v>5.5199999999999999E-2</v>
      </c>
      <c r="D11" s="16"/>
      <c r="E11" s="24" t="s">
        <v>3</v>
      </c>
      <c r="F11" s="23">
        <f>C3-F19</f>
        <v>869712</v>
      </c>
      <c r="H11" s="48" t="s">
        <v>41</v>
      </c>
      <c r="I11" s="17">
        <f>I7*1.35%</f>
        <v>38525.760000000002</v>
      </c>
      <c r="J11" s="64">
        <v>1.35E-2</v>
      </c>
      <c r="K11" s="1" t="s">
        <v>48</v>
      </c>
      <c r="L11" s="1" t="s">
        <v>54</v>
      </c>
      <c r="M11" s="1">
        <v>50000</v>
      </c>
    </row>
    <row r="12" spans="2:13" s="1" customFormat="1">
      <c r="B12" s="15"/>
      <c r="C12" s="18"/>
      <c r="D12" s="16"/>
      <c r="E12" s="24" t="s">
        <v>19</v>
      </c>
      <c r="F12" s="46">
        <f>F11*C14</f>
        <v>156548.16</v>
      </c>
      <c r="H12" s="48" t="s">
        <v>42</v>
      </c>
      <c r="I12" s="17">
        <f>C3*C4*C11</f>
        <v>144024.30720000001</v>
      </c>
      <c r="J12" s="1" t="s">
        <v>52</v>
      </c>
      <c r="L12" s="1" t="s">
        <v>55</v>
      </c>
      <c r="M12" s="1">
        <v>100000</v>
      </c>
    </row>
    <row r="13" spans="2:13" s="1" customFormat="1">
      <c r="B13" s="27" t="s">
        <v>3</v>
      </c>
      <c r="C13" s="18"/>
      <c r="D13" s="16"/>
      <c r="E13" s="25" t="s">
        <v>20</v>
      </c>
      <c r="F13" s="26">
        <f>F11+F12</f>
        <v>1026260.16</v>
      </c>
      <c r="H13" s="48" t="s">
        <v>43</v>
      </c>
      <c r="I13" s="17">
        <f>C3*C4*J13</f>
        <v>91319.760000000009</v>
      </c>
      <c r="J13" s="64">
        <v>3.5000000000000003E-2</v>
      </c>
      <c r="K13" s="1" t="s">
        <v>49</v>
      </c>
      <c r="L13" s="1" t="s">
        <v>56</v>
      </c>
      <c r="M13" s="1">
        <f>I3*0.02</f>
        <v>56000</v>
      </c>
    </row>
    <row r="14" spans="2:13" s="1" customFormat="1">
      <c r="B14" s="15" t="s">
        <v>11</v>
      </c>
      <c r="C14" s="19">
        <v>0.18</v>
      </c>
      <c r="D14" s="16"/>
      <c r="E14" s="16"/>
      <c r="F14" s="17"/>
      <c r="H14" s="48"/>
      <c r="I14" s="17"/>
      <c r="L14" s="1" t="s">
        <v>57</v>
      </c>
      <c r="M14" s="1">
        <v>30000</v>
      </c>
    </row>
    <row r="15" spans="2:13" s="1" customFormat="1">
      <c r="B15" s="20"/>
      <c r="C15" s="21"/>
      <c r="D15" s="22"/>
      <c r="E15" s="22" t="s">
        <v>6</v>
      </c>
      <c r="F15" s="45">
        <v>92</v>
      </c>
      <c r="H15" s="59" t="s">
        <v>2</v>
      </c>
      <c r="I15" s="60">
        <f>SUM(I7:I14)</f>
        <v>3473629.8272000002</v>
      </c>
      <c r="K15" s="66"/>
      <c r="M15" s="1">
        <f>SUM(M10:M14)</f>
        <v>286000</v>
      </c>
    </row>
    <row r="16" spans="2:13" s="1" customFormat="1">
      <c r="J16" s="1">
        <f>I15+F12</f>
        <v>3630177.9872000003</v>
      </c>
      <c r="K16" s="9"/>
      <c r="L16" s="31"/>
    </row>
    <row r="17" spans="2:21" s="1" customFormat="1">
      <c r="B17" s="31" t="s">
        <v>28</v>
      </c>
      <c r="H17" s="1">
        <f>F11*C14</f>
        <v>156548.16</v>
      </c>
      <c r="J17" s="1">
        <f>F9*86</f>
        <v>224385696</v>
      </c>
      <c r="K17" s="1">
        <f>F9*C11*1.33</f>
        <v>191552.32857600003</v>
      </c>
      <c r="M17" s="1">
        <f>2853000/50</f>
        <v>57060</v>
      </c>
    </row>
    <row r="18" spans="2:21" s="1" customFormat="1">
      <c r="B18" s="174" t="s">
        <v>30</v>
      </c>
      <c r="C18" s="176" t="s">
        <v>7</v>
      </c>
      <c r="D18" s="176" t="s">
        <v>8</v>
      </c>
      <c r="E18" s="176" t="s">
        <v>12</v>
      </c>
      <c r="F18" s="41" t="s">
        <v>4</v>
      </c>
      <c r="G18" s="42" t="s">
        <v>7</v>
      </c>
      <c r="H18" s="42" t="s">
        <v>8</v>
      </c>
      <c r="I18" s="42" t="s">
        <v>12</v>
      </c>
    </row>
    <row r="19" spans="2:21" s="1" customFormat="1">
      <c r="B19" s="175"/>
      <c r="C19" s="177"/>
      <c r="D19" s="177"/>
      <c r="E19" s="177"/>
      <c r="F19" s="43">
        <f>C3*C4</f>
        <v>2609136</v>
      </c>
      <c r="G19" s="178" t="s">
        <v>29</v>
      </c>
      <c r="H19" s="179"/>
      <c r="I19" s="180"/>
      <c r="J19" s="67">
        <f>F6/438000/1000</f>
        <v>3.3E-3</v>
      </c>
      <c r="L19" s="1">
        <f>I15*0.01</f>
        <v>34736.298272</v>
      </c>
      <c r="Q19" s="3"/>
    </row>
    <row r="20" spans="2:21" s="1" customFormat="1">
      <c r="B20" s="5">
        <v>1</v>
      </c>
      <c r="C20" s="4">
        <f>E20-D20</f>
        <v>49311.183359974799</v>
      </c>
      <c r="D20" s="4">
        <f>F19*$C$11/4</f>
        <v>36006.076800000003</v>
      </c>
      <c r="E20" s="4">
        <f>PMT($C$11/4,40,-$F$19)</f>
        <v>85317.260159974801</v>
      </c>
      <c r="F20" s="4">
        <f>F19-C20</f>
        <v>2559824.816640025</v>
      </c>
      <c r="G20" s="32">
        <f t="shared" ref="G20:I20" si="0">IF(MOD($B20,4)=0,SUM(C17:C20),0)/$F$6*$F$15</f>
        <v>0</v>
      </c>
      <c r="H20" s="33">
        <f t="shared" si="0"/>
        <v>0</v>
      </c>
      <c r="I20" s="34">
        <f t="shared" si="0"/>
        <v>0</v>
      </c>
      <c r="J20" s="1">
        <f>F11*86</f>
        <v>74795232</v>
      </c>
      <c r="L20" s="1">
        <f>I3*0.0135</f>
        <v>37800</v>
      </c>
    </row>
    <row r="21" spans="2:21" s="1" customFormat="1">
      <c r="B21" s="5">
        <f>B20+1</f>
        <v>2</v>
      </c>
      <c r="C21" s="4">
        <f t="shared" ref="C21:C59" si="1">E21-D21</f>
        <v>49991.677690342454</v>
      </c>
      <c r="D21" s="4">
        <f t="shared" ref="D21:D59" si="2">F20*$C$11/4</f>
        <v>35325.582469632347</v>
      </c>
      <c r="E21" s="4">
        <f t="shared" ref="E21:E59" si="3">PMT($C$11/4,40,-$F$19)</f>
        <v>85317.260159974801</v>
      </c>
      <c r="F21" s="4">
        <f t="shared" ref="F21:F59" si="4">F20-C21</f>
        <v>2509833.1389496825</v>
      </c>
      <c r="G21" s="35">
        <f t="shared" ref="G21:I21" si="5">IF(MOD($B21,4)=0,SUM(C18:C21),0)/$F$6*$F$15</f>
        <v>0</v>
      </c>
      <c r="H21" s="36">
        <f t="shared" si="5"/>
        <v>0</v>
      </c>
      <c r="I21" s="37">
        <f t="shared" si="5"/>
        <v>0</v>
      </c>
    </row>
    <row r="22" spans="2:21" s="1" customFormat="1">
      <c r="B22" s="5">
        <f t="shared" ref="B22:B59" si="6">B21+1</f>
        <v>3</v>
      </c>
      <c r="C22" s="4">
        <f t="shared" si="1"/>
        <v>50681.562842469182</v>
      </c>
      <c r="D22" s="4">
        <f t="shared" si="2"/>
        <v>34635.697317505619</v>
      </c>
      <c r="E22" s="4">
        <f t="shared" si="3"/>
        <v>85317.260159974801</v>
      </c>
      <c r="F22" s="4">
        <f t="shared" si="4"/>
        <v>2459151.5761072133</v>
      </c>
      <c r="G22" s="35">
        <f t="shared" ref="G22:I22" si="7">IF(MOD($B22,4)=0,SUM(C19:C22),0)/$F$6*$F$15</f>
        <v>0</v>
      </c>
      <c r="H22" s="36">
        <f t="shared" si="7"/>
        <v>0</v>
      </c>
      <c r="I22" s="37">
        <f t="shared" si="7"/>
        <v>0</v>
      </c>
      <c r="L22" s="1">
        <f>I3*0.002</f>
        <v>5600</v>
      </c>
    </row>
    <row r="23" spans="2:21" s="1" customFormat="1">
      <c r="B23" s="5">
        <f t="shared" si="6"/>
        <v>4</v>
      </c>
      <c r="C23" s="4">
        <f t="shared" si="1"/>
        <v>51380.968409695262</v>
      </c>
      <c r="D23" s="4">
        <f t="shared" si="2"/>
        <v>33936.291750279539</v>
      </c>
      <c r="E23" s="4">
        <f t="shared" si="3"/>
        <v>85317.260159974801</v>
      </c>
      <c r="F23" s="4">
        <f t="shared" si="4"/>
        <v>2407770.6076975181</v>
      </c>
      <c r="G23" s="38">
        <f>IF(MOD($B23,4)=0,SUM(C20:C23),0)/$F$6*$F$15</f>
        <v>12.816947621300898</v>
      </c>
      <c r="H23" s="39">
        <f t="shared" ref="H23:I23" si="8">IF(MOD($B23,4)=0,SUM(D20:D23),0)/$F$6*$F$15</f>
        <v>8.9048952864552451</v>
      </c>
      <c r="I23" s="40">
        <f t="shared" si="8"/>
        <v>21.721842907756141</v>
      </c>
      <c r="L23" s="1">
        <f>SUM(L19:L22)</f>
        <v>78136.298272</v>
      </c>
    </row>
    <row r="24" spans="2:21">
      <c r="B24" s="5">
        <f t="shared" si="6"/>
        <v>5</v>
      </c>
      <c r="C24" s="4">
        <f t="shared" si="1"/>
        <v>52090.025773749054</v>
      </c>
      <c r="D24" s="4">
        <f t="shared" si="2"/>
        <v>33227.234386225748</v>
      </c>
      <c r="E24" s="4">
        <f t="shared" si="3"/>
        <v>85317.260159974801</v>
      </c>
      <c r="F24" s="4">
        <f t="shared" si="4"/>
        <v>2355680.5819237689</v>
      </c>
      <c r="G24" s="32">
        <f t="shared" ref="G24:I24" si="9">IF(MOD($B24,4)=0,SUM(C21:C24),0)/$F$6*$F$15</f>
        <v>0</v>
      </c>
      <c r="H24" s="33">
        <f t="shared" si="9"/>
        <v>0</v>
      </c>
      <c r="I24" s="34">
        <f t="shared" si="9"/>
        <v>0</v>
      </c>
    </row>
    <row r="25" spans="2:21">
      <c r="B25" s="5">
        <f t="shared" si="6"/>
        <v>6</v>
      </c>
      <c r="C25" s="4">
        <f t="shared" si="1"/>
        <v>52808.868129426788</v>
      </c>
      <c r="D25" s="4">
        <f t="shared" si="2"/>
        <v>32508.39203054801</v>
      </c>
      <c r="E25" s="4">
        <f t="shared" si="3"/>
        <v>85317.260159974801</v>
      </c>
      <c r="F25" s="4">
        <f t="shared" si="4"/>
        <v>2302871.7137943422</v>
      </c>
      <c r="G25" s="35">
        <f t="shared" ref="G25:I25" si="10">IF(MOD($B25,4)=0,SUM(C22:C25),0)/$F$6*$F$15</f>
        <v>0</v>
      </c>
      <c r="H25" s="36">
        <f t="shared" si="10"/>
        <v>0</v>
      </c>
      <c r="I25" s="37">
        <f t="shared" si="10"/>
        <v>0</v>
      </c>
      <c r="U25" s="2"/>
    </row>
    <row r="26" spans="2:21">
      <c r="B26" s="5">
        <f t="shared" si="6"/>
        <v>7</v>
      </c>
      <c r="C26" s="4">
        <f t="shared" si="1"/>
        <v>53537.630509612878</v>
      </c>
      <c r="D26" s="4">
        <f t="shared" si="2"/>
        <v>31779.629650361923</v>
      </c>
      <c r="E26" s="4">
        <f t="shared" si="3"/>
        <v>85317.260159974801</v>
      </c>
      <c r="F26" s="4">
        <f t="shared" si="4"/>
        <v>2249334.0832847292</v>
      </c>
      <c r="G26" s="35">
        <f t="shared" ref="G26:I26" si="11">IF(MOD($B26,4)=0,SUM(C23:C26),0)/$F$6*$F$15</f>
        <v>0</v>
      </c>
      <c r="H26" s="36">
        <f t="shared" si="11"/>
        <v>0</v>
      </c>
      <c r="I26" s="37">
        <f t="shared" si="11"/>
        <v>0</v>
      </c>
    </row>
    <row r="27" spans="2:21">
      <c r="B27" s="5">
        <f t="shared" si="6"/>
        <v>8</v>
      </c>
      <c r="C27" s="4">
        <f t="shared" si="1"/>
        <v>54276.449810645543</v>
      </c>
      <c r="D27" s="4">
        <f t="shared" si="2"/>
        <v>31040.810349329262</v>
      </c>
      <c r="E27" s="4">
        <f t="shared" si="3"/>
        <v>85317.260159974801</v>
      </c>
      <c r="F27" s="4">
        <f t="shared" si="4"/>
        <v>2195057.6334740836</v>
      </c>
      <c r="G27" s="38">
        <f t="shared" ref="G27:I27" si="12">IF(MOD($B27,4)=0,SUM(C24:C27),0)/$F$6*$F$15</f>
        <v>13.53922348730867</v>
      </c>
      <c r="H27" s="39">
        <f t="shared" si="12"/>
        <v>8.1826194204474696</v>
      </c>
      <c r="I27" s="40">
        <f t="shared" si="12"/>
        <v>21.721842907756141</v>
      </c>
    </row>
    <row r="28" spans="2:21">
      <c r="B28" s="5">
        <f t="shared" si="6"/>
        <v>9</v>
      </c>
      <c r="C28" s="4">
        <f t="shared" si="1"/>
        <v>55025.464818032444</v>
      </c>
      <c r="D28" s="4">
        <f t="shared" si="2"/>
        <v>30291.795341942354</v>
      </c>
      <c r="E28" s="4">
        <f t="shared" si="3"/>
        <v>85317.260159974801</v>
      </c>
      <c r="F28" s="4">
        <f t="shared" si="4"/>
        <v>2140032.1686560512</v>
      </c>
      <c r="G28" s="32">
        <f t="shared" ref="G28:I28" si="13">IF(MOD($B28,4)=0,SUM(C25:C28),0)/$F$6*$F$15</f>
        <v>0</v>
      </c>
      <c r="H28" s="33">
        <f t="shared" si="13"/>
        <v>0</v>
      </c>
      <c r="I28" s="34">
        <f t="shared" si="13"/>
        <v>0</v>
      </c>
    </row>
    <row r="29" spans="2:21">
      <c r="B29" s="5">
        <f t="shared" si="6"/>
        <v>10</v>
      </c>
      <c r="C29" s="4">
        <f t="shared" si="1"/>
        <v>55784.816232521291</v>
      </c>
      <c r="D29" s="4">
        <f t="shared" si="2"/>
        <v>29532.443927453507</v>
      </c>
      <c r="E29" s="4">
        <f t="shared" si="3"/>
        <v>85317.260159974801</v>
      </c>
      <c r="F29" s="4">
        <f t="shared" si="4"/>
        <v>2084247.3524235298</v>
      </c>
      <c r="G29" s="35">
        <f t="shared" ref="G29:I29" si="14">IF(MOD($B29,4)=0,SUM(C26:C29),0)/$F$6*$F$15</f>
        <v>0</v>
      </c>
      <c r="H29" s="36">
        <f t="shared" si="14"/>
        <v>0</v>
      </c>
      <c r="I29" s="37">
        <f t="shared" si="14"/>
        <v>0</v>
      </c>
    </row>
    <row r="30" spans="2:21">
      <c r="B30" s="5">
        <f t="shared" si="6"/>
        <v>11</v>
      </c>
      <c r="C30" s="4">
        <f t="shared" si="1"/>
        <v>56554.646696530093</v>
      </c>
      <c r="D30" s="4">
        <f t="shared" si="2"/>
        <v>28762.613463444712</v>
      </c>
      <c r="E30" s="4">
        <f t="shared" si="3"/>
        <v>85317.260159974801</v>
      </c>
      <c r="F30" s="4">
        <f t="shared" si="4"/>
        <v>2027692.7057269998</v>
      </c>
      <c r="G30" s="35">
        <f t="shared" ref="G30:I30" si="15">IF(MOD($B30,4)=0,SUM(C27:C30),0)/$F$6*$F$15</f>
        <v>0</v>
      </c>
      <c r="H30" s="36">
        <f t="shared" si="15"/>
        <v>0</v>
      </c>
      <c r="I30" s="37">
        <f t="shared" si="15"/>
        <v>0</v>
      </c>
    </row>
    <row r="31" spans="2:21">
      <c r="B31" s="5">
        <f t="shared" si="6"/>
        <v>12</v>
      </c>
      <c r="C31" s="4">
        <f t="shared" si="1"/>
        <v>57335.1008209422</v>
      </c>
      <c r="D31" s="4">
        <f t="shared" si="2"/>
        <v>27982.159339032598</v>
      </c>
      <c r="E31" s="4">
        <f t="shared" si="3"/>
        <v>85317.260159974801</v>
      </c>
      <c r="F31" s="4">
        <f t="shared" si="4"/>
        <v>1970357.6049060575</v>
      </c>
      <c r="G31" s="38">
        <f t="shared" ref="G31:I31" si="16">IF(MOD($B31,4)=0,SUM(C28:C31),0)/$F$6*$F$15</f>
        <v>14.302201901382588</v>
      </c>
      <c r="H31" s="39">
        <f t="shared" si="16"/>
        <v>7.4196410063735527</v>
      </c>
      <c r="I31" s="40">
        <f t="shared" si="16"/>
        <v>21.721842907756141</v>
      </c>
    </row>
    <row r="32" spans="2:21">
      <c r="B32" s="5">
        <f t="shared" si="6"/>
        <v>13</v>
      </c>
      <c r="C32" s="4">
        <f t="shared" si="1"/>
        <v>58126.325212271207</v>
      </c>
      <c r="D32" s="4">
        <f t="shared" si="2"/>
        <v>27190.934947703594</v>
      </c>
      <c r="E32" s="4">
        <f t="shared" si="3"/>
        <v>85317.260159974801</v>
      </c>
      <c r="F32" s="4">
        <f t="shared" si="4"/>
        <v>1912231.2796937863</v>
      </c>
      <c r="G32" s="32">
        <f t="shared" ref="G32:I32" si="17">IF(MOD($B32,4)=0,SUM(C29:C32),0)/$F$6*$F$15</f>
        <v>0</v>
      </c>
      <c r="H32" s="33">
        <f t="shared" si="17"/>
        <v>0</v>
      </c>
      <c r="I32" s="34">
        <f t="shared" si="17"/>
        <v>0</v>
      </c>
    </row>
    <row r="33" spans="2:9">
      <c r="B33" s="5">
        <f t="shared" si="6"/>
        <v>14</v>
      </c>
      <c r="C33" s="4">
        <f t="shared" si="1"/>
        <v>58928.46850020055</v>
      </c>
      <c r="D33" s="4">
        <f t="shared" si="2"/>
        <v>26388.791659774251</v>
      </c>
      <c r="E33" s="4">
        <f t="shared" si="3"/>
        <v>85317.260159974801</v>
      </c>
      <c r="F33" s="4">
        <f t="shared" si="4"/>
        <v>1853302.8111935856</v>
      </c>
      <c r="G33" s="35">
        <f t="shared" ref="G33:I33" si="18">IF(MOD($B33,4)=0,SUM(C30:C33),0)/$F$6*$F$15</f>
        <v>0</v>
      </c>
      <c r="H33" s="36">
        <f t="shared" si="18"/>
        <v>0</v>
      </c>
      <c r="I33" s="37">
        <f t="shared" si="18"/>
        <v>0</v>
      </c>
    </row>
    <row r="34" spans="2:9">
      <c r="B34" s="5">
        <f t="shared" si="6"/>
        <v>15</v>
      </c>
      <c r="C34" s="4">
        <f t="shared" si="1"/>
        <v>59741.681365503318</v>
      </c>
      <c r="D34" s="4">
        <f t="shared" si="2"/>
        <v>25575.578794471483</v>
      </c>
      <c r="E34" s="4">
        <f t="shared" si="3"/>
        <v>85317.260159974801</v>
      </c>
      <c r="F34" s="4">
        <f t="shared" si="4"/>
        <v>1793561.1298280824</v>
      </c>
      <c r="G34" s="35">
        <f t="shared" ref="G34:I34" si="19">IF(MOD($B34,4)=0,SUM(C31:C34),0)/$F$6*$F$15</f>
        <v>0</v>
      </c>
      <c r="H34" s="36">
        <f t="shared" si="19"/>
        <v>0</v>
      </c>
      <c r="I34" s="37">
        <f t="shared" si="19"/>
        <v>0</v>
      </c>
    </row>
    <row r="35" spans="2:9">
      <c r="B35" s="5">
        <f t="shared" si="6"/>
        <v>16</v>
      </c>
      <c r="C35" s="4">
        <f t="shared" si="1"/>
        <v>60566.116568347265</v>
      </c>
      <c r="D35" s="4">
        <f t="shared" si="2"/>
        <v>24751.143591627537</v>
      </c>
      <c r="E35" s="4">
        <f t="shared" si="3"/>
        <v>85317.260159974801</v>
      </c>
      <c r="F35" s="4">
        <f t="shared" si="4"/>
        <v>1732995.0132597352</v>
      </c>
      <c r="G35" s="38">
        <f t="shared" ref="G35:I35" si="20">IF(MOD($B35,4)=0,SUM(C32:C35),0)/$F$6*$F$15</f>
        <v>15.108176581888511</v>
      </c>
      <c r="H35" s="39">
        <f t="shared" si="20"/>
        <v>6.6136663258676291</v>
      </c>
      <c r="I35" s="40">
        <f t="shared" si="20"/>
        <v>21.721842907756141</v>
      </c>
    </row>
    <row r="36" spans="2:9">
      <c r="B36" s="5">
        <f t="shared" si="6"/>
        <v>17</v>
      </c>
      <c r="C36" s="4">
        <f t="shared" si="1"/>
        <v>61401.928976990457</v>
      </c>
      <c r="D36" s="4">
        <f t="shared" si="2"/>
        <v>23915.331182984344</v>
      </c>
      <c r="E36" s="4">
        <f t="shared" si="3"/>
        <v>85317.260159974801</v>
      </c>
      <c r="F36" s="4">
        <f t="shared" si="4"/>
        <v>1671593.0842827447</v>
      </c>
      <c r="G36" s="32">
        <f t="shared" ref="G36:I36" si="21">IF(MOD($B36,4)=0,SUM(C33:C36),0)/$F$6*$F$15</f>
        <v>0</v>
      </c>
      <c r="H36" s="33">
        <f t="shared" si="21"/>
        <v>0</v>
      </c>
      <c r="I36" s="34">
        <f t="shared" si="21"/>
        <v>0</v>
      </c>
    </row>
    <row r="37" spans="2:9">
      <c r="B37" s="5">
        <f t="shared" si="6"/>
        <v>18</v>
      </c>
      <c r="C37" s="4">
        <f t="shared" si="1"/>
        <v>62249.275596872925</v>
      </c>
      <c r="D37" s="4">
        <f t="shared" si="2"/>
        <v>23067.984563101876</v>
      </c>
      <c r="E37" s="4">
        <f t="shared" si="3"/>
        <v>85317.260159974801</v>
      </c>
      <c r="F37" s="4">
        <f t="shared" si="4"/>
        <v>1609343.8086858718</v>
      </c>
      <c r="G37" s="35">
        <f t="shared" ref="G37:I37" si="22">IF(MOD($B37,4)=0,SUM(C34:C37),0)/$F$6*$F$15</f>
        <v>0</v>
      </c>
      <c r="H37" s="36">
        <f t="shared" si="22"/>
        <v>0</v>
      </c>
      <c r="I37" s="37">
        <f t="shared" si="22"/>
        <v>0</v>
      </c>
    </row>
    <row r="38" spans="2:9">
      <c r="B38" s="5">
        <f t="shared" si="6"/>
        <v>19</v>
      </c>
      <c r="C38" s="4">
        <f t="shared" si="1"/>
        <v>63108.315600109767</v>
      </c>
      <c r="D38" s="4">
        <f t="shared" si="2"/>
        <v>22208.944559865031</v>
      </c>
      <c r="E38" s="4">
        <f t="shared" si="3"/>
        <v>85317.260159974801</v>
      </c>
      <c r="F38" s="4">
        <f t="shared" si="4"/>
        <v>1546235.493085762</v>
      </c>
      <c r="G38" s="35">
        <f t="shared" ref="G38:I38" si="23">IF(MOD($B38,4)=0,SUM(C35:C38),0)/$F$6*$F$15</f>
        <v>0</v>
      </c>
      <c r="H38" s="36">
        <f t="shared" si="23"/>
        <v>0</v>
      </c>
      <c r="I38" s="37">
        <f t="shared" si="23"/>
        <v>0</v>
      </c>
    </row>
    <row r="39" spans="2:9">
      <c r="B39" s="5">
        <f t="shared" si="6"/>
        <v>20</v>
      </c>
      <c r="C39" s="4">
        <f t="shared" si="1"/>
        <v>63979.210355391289</v>
      </c>
      <c r="D39" s="4">
        <f t="shared" si="2"/>
        <v>21338.049804583516</v>
      </c>
      <c r="E39" s="4">
        <f t="shared" si="3"/>
        <v>85317.260159974801</v>
      </c>
      <c r="F39" s="4">
        <f t="shared" si="4"/>
        <v>1482256.2827303708</v>
      </c>
      <c r="G39" s="38">
        <f t="shared" ref="G39:I39" si="24">IF(MOD($B39,4)=0,SUM(C36:C39),0)/$F$6*$F$15</f>
        <v>15.95957050553586</v>
      </c>
      <c r="H39" s="39">
        <f t="shared" si="24"/>
        <v>5.762272402220284</v>
      </c>
      <c r="I39" s="40">
        <f t="shared" si="24"/>
        <v>21.721842907756141</v>
      </c>
    </row>
    <row r="40" spans="2:9">
      <c r="B40" s="5">
        <f t="shared" si="6"/>
        <v>21</v>
      </c>
      <c r="C40" s="4">
        <f t="shared" si="1"/>
        <v>64862.123458295682</v>
      </c>
      <c r="D40" s="4">
        <f t="shared" si="2"/>
        <v>20455.136701679116</v>
      </c>
      <c r="E40" s="4">
        <f t="shared" si="3"/>
        <v>85317.260159974801</v>
      </c>
      <c r="F40" s="4">
        <f t="shared" si="4"/>
        <v>1417394.1592720752</v>
      </c>
      <c r="G40" s="32">
        <f t="shared" ref="G40:I40" si="25">IF(MOD($B40,4)=0,SUM(C37:C40),0)/$F$6*$F$15</f>
        <v>0</v>
      </c>
      <c r="H40" s="33">
        <f t="shared" si="25"/>
        <v>0</v>
      </c>
      <c r="I40" s="34">
        <f t="shared" si="25"/>
        <v>0</v>
      </c>
    </row>
    <row r="41" spans="2:9">
      <c r="B41" s="5">
        <f t="shared" si="6"/>
        <v>22</v>
      </c>
      <c r="C41" s="4">
        <f t="shared" si="1"/>
        <v>65757.220762020166</v>
      </c>
      <c r="D41" s="4">
        <f t="shared" si="2"/>
        <v>19560.039397954635</v>
      </c>
      <c r="E41" s="4">
        <f t="shared" si="3"/>
        <v>85317.260159974801</v>
      </c>
      <c r="F41" s="4">
        <f t="shared" si="4"/>
        <v>1351636.938510055</v>
      </c>
      <c r="G41" s="35">
        <f t="shared" ref="G41:I41" si="26">IF(MOD($B41,4)=0,SUM(C38:C41),0)/$F$6*$F$15</f>
        <v>0</v>
      </c>
      <c r="H41" s="36">
        <f t="shared" si="26"/>
        <v>0</v>
      </c>
      <c r="I41" s="37">
        <f t="shared" si="26"/>
        <v>0</v>
      </c>
    </row>
    <row r="42" spans="2:9">
      <c r="B42" s="5">
        <f t="shared" si="6"/>
        <v>23</v>
      </c>
      <c r="C42" s="4">
        <f t="shared" si="1"/>
        <v>66664.67040853604</v>
      </c>
      <c r="D42" s="4">
        <f t="shared" si="2"/>
        <v>18652.589751438758</v>
      </c>
      <c r="E42" s="4">
        <f t="shared" si="3"/>
        <v>85317.260159974801</v>
      </c>
      <c r="F42" s="4">
        <f t="shared" si="4"/>
        <v>1284972.268101519</v>
      </c>
      <c r="G42" s="35">
        <f t="shared" ref="G42:I42" si="27">IF(MOD($B42,4)=0,SUM(C39:C42),0)/$F$6*$F$15</f>
        <v>0</v>
      </c>
      <c r="H42" s="36">
        <f t="shared" si="27"/>
        <v>0</v>
      </c>
      <c r="I42" s="37">
        <f t="shared" si="27"/>
        <v>0</v>
      </c>
    </row>
    <row r="43" spans="2:9">
      <c r="B43" s="5">
        <f t="shared" si="6"/>
        <v>24</v>
      </c>
      <c r="C43" s="4">
        <f t="shared" si="1"/>
        <v>67584.642860173844</v>
      </c>
      <c r="D43" s="4">
        <f t="shared" si="2"/>
        <v>17732.617299800961</v>
      </c>
      <c r="E43" s="4">
        <f t="shared" si="3"/>
        <v>85317.260159974801</v>
      </c>
      <c r="F43" s="4">
        <f t="shared" si="4"/>
        <v>1217387.625241345</v>
      </c>
      <c r="G43" s="38">
        <f t="shared" ref="G43:I43" si="28">IF(MOD($B43,4)=0,SUM(C40:C43),0)/$F$6*$F$15</f>
        <v>16.858943191497417</v>
      </c>
      <c r="H43" s="39">
        <f t="shared" si="28"/>
        <v>4.862899716258724</v>
      </c>
      <c r="I43" s="40">
        <f t="shared" si="28"/>
        <v>21.721842907756141</v>
      </c>
    </row>
    <row r="44" spans="2:9">
      <c r="B44" s="5">
        <f t="shared" si="6"/>
        <v>25</v>
      </c>
      <c r="C44" s="4">
        <f t="shared" si="1"/>
        <v>68517.310931644242</v>
      </c>
      <c r="D44" s="4">
        <f t="shared" si="2"/>
        <v>16799.949228330563</v>
      </c>
      <c r="E44" s="4">
        <f t="shared" si="3"/>
        <v>85317.260159974801</v>
      </c>
      <c r="F44" s="4">
        <f t="shared" si="4"/>
        <v>1148870.3143097009</v>
      </c>
      <c r="G44" s="32">
        <f t="shared" ref="G44:I44" si="29">IF(MOD($B44,4)=0,SUM(C41:C44),0)/$F$6*$F$15</f>
        <v>0</v>
      </c>
      <c r="H44" s="33">
        <f t="shared" si="29"/>
        <v>0</v>
      </c>
      <c r="I44" s="34">
        <f t="shared" si="29"/>
        <v>0</v>
      </c>
    </row>
    <row r="45" spans="2:9">
      <c r="B45" s="5">
        <f t="shared" si="6"/>
        <v>26</v>
      </c>
      <c r="C45" s="4">
        <f t="shared" si="1"/>
        <v>69462.849822500924</v>
      </c>
      <c r="D45" s="4">
        <f t="shared" si="2"/>
        <v>15854.410337473872</v>
      </c>
      <c r="E45" s="4">
        <f t="shared" si="3"/>
        <v>85317.260159974801</v>
      </c>
      <c r="F45" s="4">
        <f t="shared" si="4"/>
        <v>1079407.4644871999</v>
      </c>
      <c r="G45" s="35">
        <f t="shared" ref="G45:I45" si="30">IF(MOD($B45,4)=0,SUM(C42:C45),0)/$F$6*$F$15</f>
        <v>0</v>
      </c>
      <c r="H45" s="36">
        <f t="shared" si="30"/>
        <v>0</v>
      </c>
      <c r="I45" s="37">
        <f t="shared" si="30"/>
        <v>0</v>
      </c>
    </row>
    <row r="46" spans="2:9">
      <c r="B46" s="5">
        <f t="shared" si="6"/>
        <v>27</v>
      </c>
      <c r="C46" s="4">
        <f t="shared" si="1"/>
        <v>70421.437150051439</v>
      </c>
      <c r="D46" s="4">
        <f t="shared" si="2"/>
        <v>14895.823009923359</v>
      </c>
      <c r="E46" s="4">
        <f t="shared" si="3"/>
        <v>85317.260159974801</v>
      </c>
      <c r="F46" s="4">
        <f t="shared" si="4"/>
        <v>1008986.0273371484</v>
      </c>
      <c r="G46" s="35">
        <f t="shared" ref="G46:I46" si="31">IF(MOD($B46,4)=0,SUM(C43:C46),0)/$F$6*$F$15</f>
        <v>0</v>
      </c>
      <c r="H46" s="36">
        <f t="shared" si="31"/>
        <v>0</v>
      </c>
      <c r="I46" s="37">
        <f t="shared" si="31"/>
        <v>0</v>
      </c>
    </row>
    <row r="47" spans="2:9">
      <c r="B47" s="5">
        <f t="shared" si="6"/>
        <v>28</v>
      </c>
      <c r="C47" s="4">
        <f t="shared" si="1"/>
        <v>71393.252982722159</v>
      </c>
      <c r="D47" s="4">
        <f t="shared" si="2"/>
        <v>13924.007177252648</v>
      </c>
      <c r="E47" s="4">
        <f t="shared" si="3"/>
        <v>85317.260159974801</v>
      </c>
      <c r="F47" s="4">
        <f t="shared" si="4"/>
        <v>937592.77435442631</v>
      </c>
      <c r="G47" s="38">
        <f t="shared" ref="G47:I47" si="32">IF(MOD($B47,4)=0,SUM(C44:C47),0)/$F$6*$F$15</f>
        <v>17.808998396012541</v>
      </c>
      <c r="H47" s="39">
        <f t="shared" si="32"/>
        <v>3.912844511743601</v>
      </c>
      <c r="I47" s="40">
        <f t="shared" si="32"/>
        <v>21.721842907756141</v>
      </c>
    </row>
    <row r="48" spans="2:9">
      <c r="B48" s="5">
        <f t="shared" si="6"/>
        <v>29</v>
      </c>
      <c r="C48" s="4">
        <f t="shared" si="1"/>
        <v>72378.479873883713</v>
      </c>
      <c r="D48" s="4">
        <f t="shared" si="2"/>
        <v>12938.780286091083</v>
      </c>
      <c r="E48" s="4">
        <f t="shared" si="3"/>
        <v>85317.260159974801</v>
      </c>
      <c r="F48" s="4">
        <f t="shared" si="4"/>
        <v>865214.29448054265</v>
      </c>
      <c r="G48" s="32">
        <f t="shared" ref="G48:I48" si="33">IF(MOD($B48,4)=0,SUM(C45:C48),0)/$F$6*$F$15</f>
        <v>0</v>
      </c>
      <c r="H48" s="33">
        <f t="shared" si="33"/>
        <v>0</v>
      </c>
      <c r="I48" s="34">
        <f t="shared" si="33"/>
        <v>0</v>
      </c>
    </row>
    <row r="49" spans="2:15" ht="15" customHeight="1">
      <c r="B49" s="5">
        <f t="shared" si="6"/>
        <v>30</v>
      </c>
      <c r="C49" s="4">
        <f t="shared" si="1"/>
        <v>73377.302896143316</v>
      </c>
      <c r="D49" s="4">
        <f t="shared" si="2"/>
        <v>11939.957263831488</v>
      </c>
      <c r="E49" s="4">
        <f t="shared" si="3"/>
        <v>85317.260159974801</v>
      </c>
      <c r="F49" s="4">
        <f t="shared" si="4"/>
        <v>791836.99158439937</v>
      </c>
      <c r="G49" s="35">
        <f t="shared" ref="G49:I49" si="34">IF(MOD($B49,4)=0,SUM(C46:C49),0)/$F$6*$F$15</f>
        <v>0</v>
      </c>
      <c r="H49" s="36">
        <f t="shared" si="34"/>
        <v>0</v>
      </c>
      <c r="I49" s="37">
        <f t="shared" si="34"/>
        <v>0</v>
      </c>
    </row>
    <row r="50" spans="2:15">
      <c r="B50" s="5">
        <f t="shared" si="6"/>
        <v>31</v>
      </c>
      <c r="C50" s="4">
        <f t="shared" si="1"/>
        <v>74389.909676110095</v>
      </c>
      <c r="D50" s="4">
        <f t="shared" si="2"/>
        <v>10927.350483864711</v>
      </c>
      <c r="E50" s="4">
        <f t="shared" si="3"/>
        <v>85317.260159974801</v>
      </c>
      <c r="F50" s="4">
        <f t="shared" si="4"/>
        <v>717447.08190828923</v>
      </c>
      <c r="G50" s="35">
        <f t="shared" ref="G50:I50" si="35">IF(MOD($B50,4)=0,SUM(C47:C50),0)/$F$6*$F$15</f>
        <v>0</v>
      </c>
      <c r="H50" s="36">
        <f t="shared" si="35"/>
        <v>0</v>
      </c>
      <c r="I50" s="37">
        <f t="shared" si="35"/>
        <v>0</v>
      </c>
    </row>
    <row r="51" spans="2:15">
      <c r="B51" s="5">
        <f t="shared" si="6"/>
        <v>32</v>
      </c>
      <c r="C51" s="4">
        <f t="shared" si="1"/>
        <v>75416.490429640413</v>
      </c>
      <c r="D51" s="4">
        <f t="shared" si="2"/>
        <v>9900.7697303343903</v>
      </c>
      <c r="E51" s="4">
        <f t="shared" si="3"/>
        <v>85317.260159974801</v>
      </c>
      <c r="F51" s="4">
        <f t="shared" si="4"/>
        <v>642030.59147864883</v>
      </c>
      <c r="G51" s="38">
        <f t="shared" ref="G51:I51" si="36">IF(MOD($B51,4)=0,SUM(C48:C51),0)/$F$6*$F$15</f>
        <v>18.812592240605738</v>
      </c>
      <c r="H51" s="39">
        <f t="shared" si="36"/>
        <v>2.9092506671504039</v>
      </c>
      <c r="I51" s="40">
        <f t="shared" si="36"/>
        <v>21.721842907756141</v>
      </c>
    </row>
    <row r="52" spans="2:15">
      <c r="B52" s="5">
        <f t="shared" si="6"/>
        <v>33</v>
      </c>
      <c r="C52" s="4">
        <f t="shared" si="1"/>
        <v>76457.237997569449</v>
      </c>
      <c r="D52" s="4">
        <f t="shared" si="2"/>
        <v>8860.0221624053538</v>
      </c>
      <c r="E52" s="4">
        <f t="shared" si="3"/>
        <v>85317.260159974801</v>
      </c>
      <c r="F52" s="4">
        <f t="shared" si="4"/>
        <v>565573.35348107934</v>
      </c>
      <c r="G52" s="32">
        <f t="shared" ref="G52:I52" si="37">IF(MOD($B52,4)=0,SUM(C49:C52),0)/$F$6*$F$15</f>
        <v>0</v>
      </c>
      <c r="H52" s="33">
        <f t="shared" si="37"/>
        <v>0</v>
      </c>
      <c r="I52" s="34">
        <f t="shared" si="37"/>
        <v>0</v>
      </c>
    </row>
    <row r="53" spans="2:15">
      <c r="B53" s="5">
        <f t="shared" si="6"/>
        <v>34</v>
      </c>
      <c r="C53" s="4">
        <f t="shared" si="1"/>
        <v>77512.347881935901</v>
      </c>
      <c r="D53" s="4">
        <f t="shared" si="2"/>
        <v>7804.9122780388943</v>
      </c>
      <c r="E53" s="4">
        <f t="shared" si="3"/>
        <v>85317.260159974801</v>
      </c>
      <c r="F53" s="4">
        <f t="shared" si="4"/>
        <v>488061.00559914345</v>
      </c>
      <c r="G53" s="35">
        <f t="shared" ref="G53:I53" si="38">IF(MOD($B53,4)=0,SUM(C50:C53),0)/$F$6*$F$15</f>
        <v>0</v>
      </c>
      <c r="H53" s="36">
        <f t="shared" si="38"/>
        <v>0</v>
      </c>
      <c r="I53" s="37">
        <f t="shared" si="38"/>
        <v>0</v>
      </c>
    </row>
    <row r="54" spans="2:15">
      <c r="B54" s="5">
        <f t="shared" si="6"/>
        <v>35</v>
      </c>
      <c r="C54" s="4">
        <f t="shared" si="1"/>
        <v>78582.018282706616</v>
      </c>
      <c r="D54" s="4">
        <f t="shared" si="2"/>
        <v>6735.2418772681795</v>
      </c>
      <c r="E54" s="4">
        <f t="shared" si="3"/>
        <v>85317.260159974801</v>
      </c>
      <c r="F54" s="4">
        <f t="shared" si="4"/>
        <v>409478.98731643683</v>
      </c>
      <c r="G54" s="35">
        <f t="shared" ref="G54:I54" si="39">IF(MOD($B54,4)=0,SUM(C51:C54),0)/$F$6*$F$15</f>
        <v>0</v>
      </c>
      <c r="H54" s="36">
        <f t="shared" si="39"/>
        <v>0</v>
      </c>
      <c r="I54" s="37">
        <f t="shared" si="39"/>
        <v>0</v>
      </c>
    </row>
    <row r="55" spans="2:15">
      <c r="B55" s="5">
        <f t="shared" si="6"/>
        <v>36</v>
      </c>
      <c r="C55" s="4">
        <f t="shared" si="1"/>
        <v>79666.450135007966</v>
      </c>
      <c r="D55" s="4">
        <f t="shared" si="2"/>
        <v>5650.8100249668278</v>
      </c>
      <c r="E55" s="4">
        <f t="shared" si="3"/>
        <v>85317.260159974801</v>
      </c>
      <c r="F55" s="4">
        <f t="shared" si="4"/>
        <v>329812.53718142887</v>
      </c>
      <c r="G55" s="38">
        <f t="shared" ref="G55:I55" si="40">IF(MOD($B55,4)=0,SUM(C52:C55),0)/$F$6*$F$15</f>
        <v>19.87274179835633</v>
      </c>
      <c r="H55" s="39">
        <f t="shared" si="40"/>
        <v>1.8491011093998144</v>
      </c>
      <c r="I55" s="40">
        <f t="shared" si="40"/>
        <v>21.721842907756141</v>
      </c>
    </row>
    <row r="56" spans="2:15">
      <c r="B56" s="5">
        <f t="shared" si="6"/>
        <v>37</v>
      </c>
      <c r="C56" s="4">
        <f t="shared" si="1"/>
        <v>80765.847146871078</v>
      </c>
      <c r="D56" s="4">
        <f t="shared" si="2"/>
        <v>4551.4130131037182</v>
      </c>
      <c r="E56" s="4">
        <f t="shared" si="3"/>
        <v>85317.260159974801</v>
      </c>
      <c r="F56" s="4">
        <f t="shared" si="4"/>
        <v>249046.69003455777</v>
      </c>
      <c r="G56" s="35">
        <f t="shared" ref="G56:I56" si="41">IF(MOD($B56,4)=0,SUM(C53:C56),0)/$F$6*$F$15</f>
        <v>0</v>
      </c>
      <c r="H56" s="36">
        <f t="shared" si="41"/>
        <v>0</v>
      </c>
      <c r="I56" s="37">
        <f t="shared" si="41"/>
        <v>0</v>
      </c>
    </row>
    <row r="57" spans="2:15">
      <c r="B57" s="5">
        <f t="shared" si="6"/>
        <v>38</v>
      </c>
      <c r="C57" s="4">
        <f t="shared" si="1"/>
        <v>81880.415837497902</v>
      </c>
      <c r="D57" s="4">
        <f t="shared" si="2"/>
        <v>3436.8443224768971</v>
      </c>
      <c r="E57" s="4">
        <f t="shared" si="3"/>
        <v>85317.260159974801</v>
      </c>
      <c r="F57" s="4">
        <f t="shared" si="4"/>
        <v>167166.27419705986</v>
      </c>
      <c r="G57" s="35">
        <f t="shared" ref="G57:I57" si="42">IF(MOD($B57,4)=0,SUM(C54:C57),0)/$F$6*$F$15</f>
        <v>0</v>
      </c>
      <c r="H57" s="36">
        <f t="shared" si="42"/>
        <v>0</v>
      </c>
      <c r="I57" s="37">
        <f t="shared" si="42"/>
        <v>0</v>
      </c>
    </row>
    <row r="58" spans="2:15">
      <c r="B58" s="5">
        <f t="shared" si="6"/>
        <v>39</v>
      </c>
      <c r="C58" s="4">
        <f t="shared" si="1"/>
        <v>83010.365576055381</v>
      </c>
      <c r="D58" s="4">
        <f t="shared" si="2"/>
        <v>2306.8945839194262</v>
      </c>
      <c r="E58" s="4">
        <f t="shared" si="3"/>
        <v>85317.260159974801</v>
      </c>
      <c r="F58" s="4">
        <f t="shared" si="4"/>
        <v>84155.908621004477</v>
      </c>
      <c r="G58" s="35">
        <f t="shared" ref="G58:I58" si="43">IF(MOD($B58,4)=0,SUM(C55:C58),0)/$F$6*$F$15</f>
        <v>0</v>
      </c>
      <c r="H58" s="36">
        <f t="shared" si="43"/>
        <v>0</v>
      </c>
      <c r="I58" s="37">
        <f t="shared" si="43"/>
        <v>0</v>
      </c>
    </row>
    <row r="59" spans="2:15">
      <c r="B59" s="5">
        <f t="shared" si="6"/>
        <v>40</v>
      </c>
      <c r="C59" s="4">
        <f t="shared" si="1"/>
        <v>84155.908621004943</v>
      </c>
      <c r="D59" s="4">
        <f t="shared" si="2"/>
        <v>1161.3515389698618</v>
      </c>
      <c r="E59" s="4">
        <f t="shared" si="3"/>
        <v>85317.260159974801</v>
      </c>
      <c r="F59" s="4">
        <f t="shared" si="4"/>
        <v>-4.6566128730773926E-10</v>
      </c>
      <c r="G59" s="38">
        <f t="shared" ref="G59:I59" si="44">IF(MOD($B59,4)=0,SUM(C56:C59),0)/$F$6*$F$15</f>
        <v>20.992634164031756</v>
      </c>
      <c r="H59" s="39">
        <f t="shared" si="44"/>
        <v>0.72920874372438849</v>
      </c>
      <c r="I59" s="40">
        <f t="shared" si="44"/>
        <v>21.721842907756141</v>
      </c>
    </row>
    <row r="61" spans="2:15" ht="23">
      <c r="B61" s="44" t="s">
        <v>31</v>
      </c>
      <c r="J61" s="44" t="s">
        <v>32</v>
      </c>
    </row>
    <row r="62" spans="2:15">
      <c r="B62" s="181" t="s">
        <v>10</v>
      </c>
      <c r="C62" s="181" t="s">
        <v>5</v>
      </c>
      <c r="D62" s="181" t="s">
        <v>13</v>
      </c>
      <c r="E62" s="181"/>
      <c r="F62" s="181"/>
      <c r="G62" s="185" t="s">
        <v>14</v>
      </c>
      <c r="H62" s="185" t="s">
        <v>15</v>
      </c>
      <c r="J62" s="181" t="s">
        <v>10</v>
      </c>
      <c r="K62" s="181" t="s">
        <v>5</v>
      </c>
      <c r="L62" s="189" t="s">
        <v>13</v>
      </c>
      <c r="M62" s="190"/>
      <c r="N62" s="185" t="s">
        <v>14</v>
      </c>
      <c r="O62" s="185" t="s">
        <v>15</v>
      </c>
    </row>
    <row r="63" spans="2:15">
      <c r="B63" s="181"/>
      <c r="C63" s="181"/>
      <c r="D63" s="181" t="s">
        <v>7</v>
      </c>
      <c r="E63" s="181" t="s">
        <v>8</v>
      </c>
      <c r="F63" s="181" t="s">
        <v>9</v>
      </c>
      <c r="G63" s="188"/>
      <c r="H63" s="188"/>
      <c r="J63" s="181"/>
      <c r="K63" s="181"/>
      <c r="L63" s="185" t="s">
        <v>18</v>
      </c>
      <c r="M63" s="181" t="s">
        <v>8</v>
      </c>
      <c r="N63" s="188"/>
      <c r="O63" s="188"/>
    </row>
    <row r="64" spans="2:15">
      <c r="B64" s="181"/>
      <c r="C64" s="181"/>
      <c r="D64" s="181"/>
      <c r="E64" s="181"/>
      <c r="F64" s="181"/>
      <c r="G64" s="186"/>
      <c r="H64" s="186"/>
      <c r="J64" s="181"/>
      <c r="K64" s="181"/>
      <c r="L64" s="186"/>
      <c r="M64" s="181"/>
      <c r="N64" s="186"/>
      <c r="O64" s="186"/>
    </row>
    <row r="65" spans="2:15">
      <c r="B65" s="5">
        <v>1</v>
      </c>
      <c r="C65" s="7">
        <f t="shared" ref="C65:C89" si="45">$F$3/$F$6*$F$15</f>
        <v>4.9733910620063648</v>
      </c>
      <c r="D65" s="7">
        <f t="shared" ref="D65:D89" si="46">IF(B65&lt;=10, VLOOKUP($B65*4,$B$18:$I$59,6),0)</f>
        <v>12.816947621300898</v>
      </c>
      <c r="E65" s="69">
        <f t="shared" ref="E65:E89" si="47">IF(B65&lt;=10, VLOOKUP($B65*4,$B$18:$I$59,7),0)</f>
        <v>8.9048952864552451</v>
      </c>
      <c r="F65" s="7">
        <f>-(PMT($C$14,$B$89,$F$13)*$F$15/$F$6)/0.925</f>
        <v>12.917364646345323</v>
      </c>
      <c r="G65" s="7">
        <f>SUM(C65:F65)</f>
        <v>39.612598616107832</v>
      </c>
      <c r="H65" s="7">
        <f t="shared" ref="H65:H89" si="48">G65/$F$15*100</f>
        <v>43.05717240881286</v>
      </c>
      <c r="J65" s="5">
        <v>1</v>
      </c>
      <c r="K65" s="7">
        <f t="shared" ref="K65:K89" si="49">C65</f>
        <v>4.9733910620063648</v>
      </c>
      <c r="L65" s="7">
        <f t="shared" ref="L65:L89" si="50">D65+F65</f>
        <v>25.734312267646221</v>
      </c>
      <c r="M65" s="7">
        <f t="shared" ref="M65:M89" si="51">E65</f>
        <v>8.9048952864552451</v>
      </c>
      <c r="N65" s="7">
        <f>SUM(K65:M65)</f>
        <v>39.612598616107832</v>
      </c>
      <c r="O65" s="7">
        <f t="shared" ref="O65:O89" si="52">N65/$F$15*100</f>
        <v>43.05717240881286</v>
      </c>
    </row>
    <row r="66" spans="2:15">
      <c r="B66" s="5">
        <f>B65+1</f>
        <v>2</v>
      </c>
      <c r="C66" s="7">
        <f t="shared" si="45"/>
        <v>4.9733910620063648</v>
      </c>
      <c r="D66" s="7">
        <f t="shared" si="46"/>
        <v>13.53922348730867</v>
      </c>
      <c r="E66" s="69">
        <f t="shared" si="47"/>
        <v>8.1826194204474696</v>
      </c>
      <c r="F66" s="7">
        <f t="shared" ref="F66:F89" si="53">-(PMT($C$14,$B$89,$F$13)*$F$15/$F$6)/0.925</f>
        <v>12.917364646345323</v>
      </c>
      <c r="G66" s="7">
        <f t="shared" ref="G66:G89" si="54">SUM(C66:F66)</f>
        <v>39.612598616107832</v>
      </c>
      <c r="H66" s="7">
        <f t="shared" si="48"/>
        <v>43.05717240881286</v>
      </c>
      <c r="J66" s="5">
        <f>J65+1</f>
        <v>2</v>
      </c>
      <c r="K66" s="7">
        <f t="shared" si="49"/>
        <v>4.9733910620063648</v>
      </c>
      <c r="L66" s="7">
        <f t="shared" si="50"/>
        <v>26.456588133653995</v>
      </c>
      <c r="M66" s="7">
        <f t="shared" si="51"/>
        <v>8.1826194204474696</v>
      </c>
      <c r="N66" s="7">
        <f t="shared" ref="N66:N89" si="55">SUM(K66:M66)</f>
        <v>39.612598616107832</v>
      </c>
      <c r="O66" s="7">
        <f t="shared" si="52"/>
        <v>43.05717240881286</v>
      </c>
    </row>
    <row r="67" spans="2:15">
      <c r="B67" s="5">
        <f t="shared" ref="B67:B89" si="56">B66+1</f>
        <v>3</v>
      </c>
      <c r="C67" s="7">
        <f t="shared" si="45"/>
        <v>4.9733910620063648</v>
      </c>
      <c r="D67" s="7">
        <f t="shared" si="46"/>
        <v>14.302201901382588</v>
      </c>
      <c r="E67" s="69">
        <f t="shared" si="47"/>
        <v>7.4196410063735527</v>
      </c>
      <c r="F67" s="7">
        <f t="shared" si="53"/>
        <v>12.917364646345323</v>
      </c>
      <c r="G67" s="7">
        <f t="shared" si="54"/>
        <v>39.612598616107832</v>
      </c>
      <c r="H67" s="7">
        <f t="shared" si="48"/>
        <v>43.05717240881286</v>
      </c>
      <c r="J67" s="5">
        <f t="shared" ref="J67:J88" si="57">J66+1</f>
        <v>3</v>
      </c>
      <c r="K67" s="7">
        <f t="shared" si="49"/>
        <v>4.9733910620063648</v>
      </c>
      <c r="L67" s="7">
        <f t="shared" si="50"/>
        <v>27.219566547727911</v>
      </c>
      <c r="M67" s="7">
        <f t="shared" si="51"/>
        <v>7.4196410063735527</v>
      </c>
      <c r="N67" s="7">
        <f t="shared" si="55"/>
        <v>39.612598616107832</v>
      </c>
      <c r="O67" s="7">
        <f t="shared" si="52"/>
        <v>43.05717240881286</v>
      </c>
    </row>
    <row r="68" spans="2:15">
      <c r="B68" s="5">
        <f t="shared" si="56"/>
        <v>4</v>
      </c>
      <c r="C68" s="7">
        <f t="shared" si="45"/>
        <v>4.9733910620063648</v>
      </c>
      <c r="D68" s="7">
        <f t="shared" si="46"/>
        <v>15.108176581888511</v>
      </c>
      <c r="E68" s="69">
        <f t="shared" si="47"/>
        <v>6.6136663258676291</v>
      </c>
      <c r="F68" s="7">
        <f t="shared" si="53"/>
        <v>12.917364646345323</v>
      </c>
      <c r="G68" s="7">
        <f t="shared" si="54"/>
        <v>39.612598616107832</v>
      </c>
      <c r="H68" s="7">
        <f t="shared" si="48"/>
        <v>43.05717240881286</v>
      </c>
      <c r="J68" s="5">
        <f t="shared" si="57"/>
        <v>4</v>
      </c>
      <c r="K68" s="7">
        <f t="shared" si="49"/>
        <v>4.9733910620063648</v>
      </c>
      <c r="L68" s="7">
        <f t="shared" si="50"/>
        <v>28.025541228233834</v>
      </c>
      <c r="M68" s="7">
        <f t="shared" si="51"/>
        <v>6.6136663258676291</v>
      </c>
      <c r="N68" s="7">
        <f t="shared" si="55"/>
        <v>39.612598616107825</v>
      </c>
      <c r="O68" s="7">
        <f t="shared" si="52"/>
        <v>43.057172408812853</v>
      </c>
    </row>
    <row r="69" spans="2:15">
      <c r="B69" s="5">
        <f t="shared" si="56"/>
        <v>5</v>
      </c>
      <c r="C69" s="7">
        <f t="shared" si="45"/>
        <v>4.9733910620063648</v>
      </c>
      <c r="D69" s="7">
        <f t="shared" si="46"/>
        <v>15.95957050553586</v>
      </c>
      <c r="E69" s="69">
        <f t="shared" si="47"/>
        <v>5.762272402220284</v>
      </c>
      <c r="F69" s="7">
        <f t="shared" si="53"/>
        <v>12.917364646345323</v>
      </c>
      <c r="G69" s="7">
        <f t="shared" si="54"/>
        <v>39.612598616107832</v>
      </c>
      <c r="H69" s="7">
        <f t="shared" si="48"/>
        <v>43.05717240881286</v>
      </c>
      <c r="J69" s="5">
        <f t="shared" si="57"/>
        <v>5</v>
      </c>
      <c r="K69" s="7">
        <f t="shared" si="49"/>
        <v>4.9733910620063648</v>
      </c>
      <c r="L69" s="7">
        <f t="shared" si="50"/>
        <v>28.876935151881185</v>
      </c>
      <c r="M69" s="7">
        <f t="shared" si="51"/>
        <v>5.762272402220284</v>
      </c>
      <c r="N69" s="7">
        <f t="shared" si="55"/>
        <v>39.612598616107832</v>
      </c>
      <c r="O69" s="7">
        <f t="shared" si="52"/>
        <v>43.05717240881286</v>
      </c>
    </row>
    <row r="70" spans="2:15">
      <c r="B70" s="5">
        <f t="shared" si="56"/>
        <v>6</v>
      </c>
      <c r="C70" s="7">
        <f t="shared" si="45"/>
        <v>4.9733910620063648</v>
      </c>
      <c r="D70" s="7">
        <f t="shared" si="46"/>
        <v>16.858943191497417</v>
      </c>
      <c r="E70" s="69">
        <f t="shared" si="47"/>
        <v>4.862899716258724</v>
      </c>
      <c r="F70" s="7">
        <f t="shared" si="53"/>
        <v>12.917364646345323</v>
      </c>
      <c r="G70" s="7">
        <f t="shared" si="54"/>
        <v>39.612598616107832</v>
      </c>
      <c r="H70" s="7">
        <f t="shared" si="48"/>
        <v>43.05717240881286</v>
      </c>
      <c r="J70" s="5">
        <f t="shared" si="57"/>
        <v>6</v>
      </c>
      <c r="K70" s="7">
        <f t="shared" si="49"/>
        <v>4.9733910620063648</v>
      </c>
      <c r="L70" s="7">
        <f t="shared" si="50"/>
        <v>29.77630783784274</v>
      </c>
      <c r="M70" s="7">
        <f t="shared" si="51"/>
        <v>4.862899716258724</v>
      </c>
      <c r="N70" s="7">
        <f t="shared" si="55"/>
        <v>39.612598616107832</v>
      </c>
      <c r="O70" s="7">
        <f t="shared" si="52"/>
        <v>43.05717240881286</v>
      </c>
    </row>
    <row r="71" spans="2:15">
      <c r="B71" s="5">
        <f t="shared" si="56"/>
        <v>7</v>
      </c>
      <c r="C71" s="7">
        <f t="shared" si="45"/>
        <v>4.9733910620063648</v>
      </c>
      <c r="D71" s="7">
        <f t="shared" si="46"/>
        <v>17.808998396012541</v>
      </c>
      <c r="E71" s="69">
        <f t="shared" si="47"/>
        <v>3.912844511743601</v>
      </c>
      <c r="F71" s="7">
        <f t="shared" si="53"/>
        <v>12.917364646345323</v>
      </c>
      <c r="G71" s="7">
        <f t="shared" si="54"/>
        <v>39.612598616107832</v>
      </c>
      <c r="H71" s="7">
        <f t="shared" si="48"/>
        <v>43.05717240881286</v>
      </c>
      <c r="J71" s="5">
        <f t="shared" si="57"/>
        <v>7</v>
      </c>
      <c r="K71" s="7">
        <f t="shared" si="49"/>
        <v>4.9733910620063648</v>
      </c>
      <c r="L71" s="7">
        <f t="shared" si="50"/>
        <v>30.726363042357864</v>
      </c>
      <c r="M71" s="7">
        <f t="shared" si="51"/>
        <v>3.912844511743601</v>
      </c>
      <c r="N71" s="7">
        <f t="shared" si="55"/>
        <v>39.612598616107832</v>
      </c>
      <c r="O71" s="7">
        <f t="shared" si="52"/>
        <v>43.05717240881286</v>
      </c>
    </row>
    <row r="72" spans="2:15">
      <c r="B72" s="5">
        <f t="shared" si="56"/>
        <v>8</v>
      </c>
      <c r="C72" s="7">
        <f t="shared" si="45"/>
        <v>4.9733910620063648</v>
      </c>
      <c r="D72" s="7">
        <f t="shared" si="46"/>
        <v>18.812592240605738</v>
      </c>
      <c r="E72" s="69">
        <f t="shared" si="47"/>
        <v>2.9092506671504039</v>
      </c>
      <c r="F72" s="7">
        <f t="shared" si="53"/>
        <v>12.917364646345323</v>
      </c>
      <c r="G72" s="7">
        <f t="shared" si="54"/>
        <v>39.612598616107832</v>
      </c>
      <c r="H72" s="7">
        <f t="shared" si="48"/>
        <v>43.05717240881286</v>
      </c>
      <c r="J72" s="5">
        <f t="shared" si="57"/>
        <v>8</v>
      </c>
      <c r="K72" s="7">
        <f t="shared" si="49"/>
        <v>4.9733910620063648</v>
      </c>
      <c r="L72" s="7">
        <f t="shared" si="50"/>
        <v>31.729956886951062</v>
      </c>
      <c r="M72" s="7">
        <f t="shared" si="51"/>
        <v>2.9092506671504039</v>
      </c>
      <c r="N72" s="7">
        <f t="shared" si="55"/>
        <v>39.612598616107832</v>
      </c>
      <c r="O72" s="7">
        <f t="shared" si="52"/>
        <v>43.05717240881286</v>
      </c>
    </row>
    <row r="73" spans="2:15">
      <c r="B73" s="5">
        <f t="shared" si="56"/>
        <v>9</v>
      </c>
      <c r="C73" s="7">
        <f t="shared" si="45"/>
        <v>4.9733910620063648</v>
      </c>
      <c r="D73" s="7">
        <f t="shared" si="46"/>
        <v>19.87274179835633</v>
      </c>
      <c r="E73" s="69">
        <f t="shared" si="47"/>
        <v>1.8491011093998144</v>
      </c>
      <c r="F73" s="7">
        <f t="shared" si="53"/>
        <v>12.917364646345323</v>
      </c>
      <c r="G73" s="7">
        <f t="shared" si="54"/>
        <v>39.612598616107832</v>
      </c>
      <c r="H73" s="7">
        <f t="shared" si="48"/>
        <v>43.05717240881286</v>
      </c>
      <c r="J73" s="5">
        <f t="shared" si="57"/>
        <v>9</v>
      </c>
      <c r="K73" s="7">
        <f t="shared" si="49"/>
        <v>4.9733910620063648</v>
      </c>
      <c r="L73" s="7">
        <f t="shared" si="50"/>
        <v>32.790106444701649</v>
      </c>
      <c r="M73" s="7">
        <f t="shared" si="51"/>
        <v>1.8491011093998144</v>
      </c>
      <c r="N73" s="7">
        <f t="shared" si="55"/>
        <v>39.612598616107825</v>
      </c>
      <c r="O73" s="7">
        <f t="shared" si="52"/>
        <v>43.057172408812853</v>
      </c>
    </row>
    <row r="74" spans="2:15">
      <c r="B74" s="5">
        <f t="shared" si="56"/>
        <v>10</v>
      </c>
      <c r="C74" s="7">
        <f t="shared" si="45"/>
        <v>4.9733910620063648</v>
      </c>
      <c r="D74" s="7">
        <f t="shared" si="46"/>
        <v>20.992634164031756</v>
      </c>
      <c r="E74" s="69">
        <f t="shared" si="47"/>
        <v>0.72920874372438849</v>
      </c>
      <c r="F74" s="7">
        <f t="shared" si="53"/>
        <v>12.917364646345323</v>
      </c>
      <c r="G74" s="7">
        <f t="shared" si="54"/>
        <v>39.612598616107832</v>
      </c>
      <c r="H74" s="7">
        <f t="shared" si="48"/>
        <v>43.05717240881286</v>
      </c>
      <c r="J74" s="5">
        <f t="shared" si="57"/>
        <v>10</v>
      </c>
      <c r="K74" s="7">
        <f t="shared" si="49"/>
        <v>4.9733910620063648</v>
      </c>
      <c r="L74" s="7">
        <f t="shared" si="50"/>
        <v>33.909998810377076</v>
      </c>
      <c r="M74" s="7">
        <f t="shared" si="51"/>
        <v>0.72920874372438849</v>
      </c>
      <c r="N74" s="7">
        <f t="shared" si="55"/>
        <v>39.612598616107825</v>
      </c>
      <c r="O74" s="7">
        <f t="shared" si="52"/>
        <v>43.057172408812853</v>
      </c>
    </row>
    <row r="75" spans="2:15">
      <c r="B75" s="5">
        <f t="shared" si="56"/>
        <v>11</v>
      </c>
      <c r="C75" s="7">
        <f t="shared" si="45"/>
        <v>4.9733910620063648</v>
      </c>
      <c r="D75" s="7">
        <f t="shared" si="46"/>
        <v>0</v>
      </c>
      <c r="E75" s="7">
        <f t="shared" si="47"/>
        <v>0</v>
      </c>
      <c r="F75" s="7">
        <f t="shared" si="53"/>
        <v>12.917364646345323</v>
      </c>
      <c r="G75" s="7">
        <f t="shared" si="54"/>
        <v>17.890755708351687</v>
      </c>
      <c r="H75" s="7">
        <f t="shared" si="48"/>
        <v>19.446473596034441</v>
      </c>
      <c r="J75" s="5">
        <f t="shared" si="57"/>
        <v>11</v>
      </c>
      <c r="K75" s="7">
        <f t="shared" si="49"/>
        <v>4.9733910620063648</v>
      </c>
      <c r="L75" s="7">
        <f t="shared" si="50"/>
        <v>12.917364646345323</v>
      </c>
      <c r="M75" s="7">
        <f t="shared" si="51"/>
        <v>0</v>
      </c>
      <c r="N75" s="7">
        <f t="shared" si="55"/>
        <v>17.890755708351687</v>
      </c>
      <c r="O75" s="7">
        <f t="shared" si="52"/>
        <v>19.446473596034441</v>
      </c>
    </row>
    <row r="76" spans="2:15">
      <c r="B76" s="5">
        <f t="shared" si="56"/>
        <v>12</v>
      </c>
      <c r="C76" s="7">
        <f t="shared" si="45"/>
        <v>4.9733910620063648</v>
      </c>
      <c r="D76" s="7">
        <f t="shared" si="46"/>
        <v>0</v>
      </c>
      <c r="E76" s="7">
        <f t="shared" si="47"/>
        <v>0</v>
      </c>
      <c r="F76" s="7">
        <f t="shared" si="53"/>
        <v>12.917364646345323</v>
      </c>
      <c r="G76" s="7">
        <f t="shared" si="54"/>
        <v>17.890755708351687</v>
      </c>
      <c r="H76" s="7">
        <f t="shared" si="48"/>
        <v>19.446473596034441</v>
      </c>
      <c r="J76" s="5">
        <f t="shared" si="57"/>
        <v>12</v>
      </c>
      <c r="K76" s="7">
        <f t="shared" si="49"/>
        <v>4.9733910620063648</v>
      </c>
      <c r="L76" s="7">
        <f t="shared" si="50"/>
        <v>12.917364646345323</v>
      </c>
      <c r="M76" s="7">
        <f t="shared" si="51"/>
        <v>0</v>
      </c>
      <c r="N76" s="7">
        <f t="shared" si="55"/>
        <v>17.890755708351687</v>
      </c>
      <c r="O76" s="7">
        <f t="shared" si="52"/>
        <v>19.446473596034441</v>
      </c>
    </row>
    <row r="77" spans="2:15">
      <c r="B77" s="5">
        <f t="shared" si="56"/>
        <v>13</v>
      </c>
      <c r="C77" s="7">
        <f t="shared" si="45"/>
        <v>4.9733910620063648</v>
      </c>
      <c r="D77" s="7">
        <f t="shared" si="46"/>
        <v>0</v>
      </c>
      <c r="E77" s="7">
        <f t="shared" si="47"/>
        <v>0</v>
      </c>
      <c r="F77" s="7">
        <f t="shared" si="53"/>
        <v>12.917364646345323</v>
      </c>
      <c r="G77" s="7">
        <f t="shared" si="54"/>
        <v>17.890755708351687</v>
      </c>
      <c r="H77" s="7">
        <f t="shared" si="48"/>
        <v>19.446473596034441</v>
      </c>
      <c r="J77" s="5">
        <f t="shared" si="57"/>
        <v>13</v>
      </c>
      <c r="K77" s="7">
        <f t="shared" si="49"/>
        <v>4.9733910620063648</v>
      </c>
      <c r="L77" s="7">
        <f t="shared" si="50"/>
        <v>12.917364646345323</v>
      </c>
      <c r="M77" s="7">
        <f t="shared" si="51"/>
        <v>0</v>
      </c>
      <c r="N77" s="7">
        <f t="shared" si="55"/>
        <v>17.890755708351687</v>
      </c>
      <c r="O77" s="7">
        <f t="shared" si="52"/>
        <v>19.446473596034441</v>
      </c>
    </row>
    <row r="78" spans="2:15">
      <c r="B78" s="5">
        <f t="shared" si="56"/>
        <v>14</v>
      </c>
      <c r="C78" s="7">
        <f t="shared" si="45"/>
        <v>4.9733910620063648</v>
      </c>
      <c r="D78" s="7">
        <f t="shared" si="46"/>
        <v>0</v>
      </c>
      <c r="E78" s="7">
        <f t="shared" si="47"/>
        <v>0</v>
      </c>
      <c r="F78" s="7">
        <f t="shared" si="53"/>
        <v>12.917364646345323</v>
      </c>
      <c r="G78" s="7">
        <f t="shared" si="54"/>
        <v>17.890755708351687</v>
      </c>
      <c r="H78" s="7">
        <f t="shared" si="48"/>
        <v>19.446473596034441</v>
      </c>
      <c r="J78" s="5">
        <f t="shared" si="57"/>
        <v>14</v>
      </c>
      <c r="K78" s="7">
        <f t="shared" si="49"/>
        <v>4.9733910620063648</v>
      </c>
      <c r="L78" s="7">
        <f t="shared" si="50"/>
        <v>12.917364646345323</v>
      </c>
      <c r="M78" s="7">
        <f t="shared" si="51"/>
        <v>0</v>
      </c>
      <c r="N78" s="7">
        <f t="shared" si="55"/>
        <v>17.890755708351687</v>
      </c>
      <c r="O78" s="7">
        <f t="shared" si="52"/>
        <v>19.446473596034441</v>
      </c>
    </row>
    <row r="79" spans="2:15">
      <c r="B79" s="5">
        <f t="shared" si="56"/>
        <v>15</v>
      </c>
      <c r="C79" s="7">
        <f t="shared" si="45"/>
        <v>4.9733910620063648</v>
      </c>
      <c r="D79" s="7">
        <f t="shared" si="46"/>
        <v>0</v>
      </c>
      <c r="E79" s="7">
        <f t="shared" si="47"/>
        <v>0</v>
      </c>
      <c r="F79" s="7">
        <f t="shared" si="53"/>
        <v>12.917364646345323</v>
      </c>
      <c r="G79" s="7">
        <f t="shared" si="54"/>
        <v>17.890755708351687</v>
      </c>
      <c r="H79" s="7">
        <f t="shared" si="48"/>
        <v>19.446473596034441</v>
      </c>
      <c r="J79" s="5">
        <f t="shared" si="57"/>
        <v>15</v>
      </c>
      <c r="K79" s="7">
        <f t="shared" si="49"/>
        <v>4.9733910620063648</v>
      </c>
      <c r="L79" s="7">
        <f t="shared" si="50"/>
        <v>12.917364646345323</v>
      </c>
      <c r="M79" s="7">
        <f t="shared" si="51"/>
        <v>0</v>
      </c>
      <c r="N79" s="7">
        <f t="shared" si="55"/>
        <v>17.890755708351687</v>
      </c>
      <c r="O79" s="7">
        <f t="shared" si="52"/>
        <v>19.446473596034441</v>
      </c>
    </row>
    <row r="80" spans="2:15">
      <c r="B80" s="5">
        <f t="shared" si="56"/>
        <v>16</v>
      </c>
      <c r="C80" s="7">
        <f t="shared" si="45"/>
        <v>4.9733910620063648</v>
      </c>
      <c r="D80" s="7">
        <f t="shared" si="46"/>
        <v>0</v>
      </c>
      <c r="E80" s="7">
        <f t="shared" si="47"/>
        <v>0</v>
      </c>
      <c r="F80" s="7">
        <f t="shared" si="53"/>
        <v>12.917364646345323</v>
      </c>
      <c r="G80" s="7">
        <f t="shared" si="54"/>
        <v>17.890755708351687</v>
      </c>
      <c r="H80" s="7">
        <f t="shared" si="48"/>
        <v>19.446473596034441</v>
      </c>
      <c r="J80" s="5">
        <f t="shared" si="57"/>
        <v>16</v>
      </c>
      <c r="K80" s="7">
        <f t="shared" si="49"/>
        <v>4.9733910620063648</v>
      </c>
      <c r="L80" s="7">
        <f t="shared" si="50"/>
        <v>12.917364646345323</v>
      </c>
      <c r="M80" s="7">
        <f t="shared" si="51"/>
        <v>0</v>
      </c>
      <c r="N80" s="7">
        <f t="shared" si="55"/>
        <v>17.890755708351687</v>
      </c>
      <c r="O80" s="7">
        <f t="shared" si="52"/>
        <v>19.446473596034441</v>
      </c>
    </row>
    <row r="81" spans="2:15">
      <c r="B81" s="5">
        <f t="shared" si="56"/>
        <v>17</v>
      </c>
      <c r="C81" s="7">
        <f t="shared" si="45"/>
        <v>4.9733910620063648</v>
      </c>
      <c r="D81" s="7">
        <f t="shared" si="46"/>
        <v>0</v>
      </c>
      <c r="E81" s="7">
        <f t="shared" si="47"/>
        <v>0</v>
      </c>
      <c r="F81" s="7">
        <f t="shared" si="53"/>
        <v>12.917364646345323</v>
      </c>
      <c r="G81" s="7">
        <f t="shared" si="54"/>
        <v>17.890755708351687</v>
      </c>
      <c r="H81" s="7">
        <f t="shared" si="48"/>
        <v>19.446473596034441</v>
      </c>
      <c r="J81" s="5">
        <f t="shared" si="57"/>
        <v>17</v>
      </c>
      <c r="K81" s="7">
        <f t="shared" si="49"/>
        <v>4.9733910620063648</v>
      </c>
      <c r="L81" s="7">
        <f t="shared" si="50"/>
        <v>12.917364646345323</v>
      </c>
      <c r="M81" s="7">
        <f t="shared" si="51"/>
        <v>0</v>
      </c>
      <c r="N81" s="7">
        <f t="shared" si="55"/>
        <v>17.890755708351687</v>
      </c>
      <c r="O81" s="7">
        <f t="shared" si="52"/>
        <v>19.446473596034441</v>
      </c>
    </row>
    <row r="82" spans="2:15">
      <c r="B82" s="5">
        <f t="shared" si="56"/>
        <v>18</v>
      </c>
      <c r="C82" s="7">
        <f t="shared" si="45"/>
        <v>4.9733910620063648</v>
      </c>
      <c r="D82" s="7">
        <f t="shared" si="46"/>
        <v>0</v>
      </c>
      <c r="E82" s="7">
        <f t="shared" si="47"/>
        <v>0</v>
      </c>
      <c r="F82" s="7">
        <f t="shared" si="53"/>
        <v>12.917364646345323</v>
      </c>
      <c r="G82" s="7">
        <f t="shared" si="54"/>
        <v>17.890755708351687</v>
      </c>
      <c r="H82" s="7">
        <f t="shared" si="48"/>
        <v>19.446473596034441</v>
      </c>
      <c r="J82" s="5">
        <f t="shared" si="57"/>
        <v>18</v>
      </c>
      <c r="K82" s="7">
        <f t="shared" si="49"/>
        <v>4.9733910620063648</v>
      </c>
      <c r="L82" s="7">
        <f t="shared" si="50"/>
        <v>12.917364646345323</v>
      </c>
      <c r="M82" s="7">
        <f t="shared" si="51"/>
        <v>0</v>
      </c>
      <c r="N82" s="7">
        <f t="shared" si="55"/>
        <v>17.890755708351687</v>
      </c>
      <c r="O82" s="7">
        <f t="shared" si="52"/>
        <v>19.446473596034441</v>
      </c>
    </row>
    <row r="83" spans="2:15">
      <c r="B83" s="5">
        <f t="shared" si="56"/>
        <v>19</v>
      </c>
      <c r="C83" s="7">
        <f t="shared" si="45"/>
        <v>4.9733910620063648</v>
      </c>
      <c r="D83" s="7">
        <f t="shared" si="46"/>
        <v>0</v>
      </c>
      <c r="E83" s="7">
        <f t="shared" si="47"/>
        <v>0</v>
      </c>
      <c r="F83" s="7">
        <f t="shared" si="53"/>
        <v>12.917364646345323</v>
      </c>
      <c r="G83" s="7">
        <f t="shared" si="54"/>
        <v>17.890755708351687</v>
      </c>
      <c r="H83" s="7">
        <f t="shared" si="48"/>
        <v>19.446473596034441</v>
      </c>
      <c r="J83" s="5">
        <f t="shared" si="57"/>
        <v>19</v>
      </c>
      <c r="K83" s="7">
        <f t="shared" si="49"/>
        <v>4.9733910620063648</v>
      </c>
      <c r="L83" s="7">
        <f t="shared" si="50"/>
        <v>12.917364646345323</v>
      </c>
      <c r="M83" s="7">
        <f t="shared" si="51"/>
        <v>0</v>
      </c>
      <c r="N83" s="7">
        <f t="shared" si="55"/>
        <v>17.890755708351687</v>
      </c>
      <c r="O83" s="7">
        <f t="shared" si="52"/>
        <v>19.446473596034441</v>
      </c>
    </row>
    <row r="84" spans="2:15">
      <c r="B84" s="5">
        <f t="shared" si="56"/>
        <v>20</v>
      </c>
      <c r="C84" s="7">
        <f t="shared" si="45"/>
        <v>4.9733910620063648</v>
      </c>
      <c r="D84" s="7">
        <f t="shared" si="46"/>
        <v>0</v>
      </c>
      <c r="E84" s="7">
        <f t="shared" si="47"/>
        <v>0</v>
      </c>
      <c r="F84" s="7">
        <f t="shared" si="53"/>
        <v>12.917364646345323</v>
      </c>
      <c r="G84" s="7">
        <f t="shared" si="54"/>
        <v>17.890755708351687</v>
      </c>
      <c r="H84" s="7">
        <f t="shared" si="48"/>
        <v>19.446473596034441</v>
      </c>
      <c r="J84" s="5">
        <f t="shared" si="57"/>
        <v>20</v>
      </c>
      <c r="K84" s="7">
        <f t="shared" ref="K84:K88" si="58">C84</f>
        <v>4.9733910620063648</v>
      </c>
      <c r="L84" s="7">
        <f t="shared" ref="L84:L88" si="59">D84+F84</f>
        <v>12.917364646345323</v>
      </c>
      <c r="M84" s="7">
        <f t="shared" ref="M84:M88" si="60">E84</f>
        <v>0</v>
      </c>
      <c r="N84" s="7">
        <f t="shared" ref="N84:N88" si="61">SUM(K84:M84)</f>
        <v>17.890755708351687</v>
      </c>
      <c r="O84" s="7">
        <f t="shared" ref="O84:O88" si="62">N84/$F$15*100</f>
        <v>19.446473596034441</v>
      </c>
    </row>
    <row r="85" spans="2:15">
      <c r="B85" s="5">
        <f t="shared" si="56"/>
        <v>21</v>
      </c>
      <c r="C85" s="7">
        <f t="shared" si="45"/>
        <v>4.9733910620063648</v>
      </c>
      <c r="D85" s="7">
        <f t="shared" si="46"/>
        <v>0</v>
      </c>
      <c r="E85" s="7">
        <f t="shared" si="47"/>
        <v>0</v>
      </c>
      <c r="F85" s="7">
        <f t="shared" si="53"/>
        <v>12.917364646345323</v>
      </c>
      <c r="G85" s="7">
        <f t="shared" si="54"/>
        <v>17.890755708351687</v>
      </c>
      <c r="H85" s="7">
        <f t="shared" si="48"/>
        <v>19.446473596034441</v>
      </c>
      <c r="J85" s="5">
        <f t="shared" si="57"/>
        <v>21</v>
      </c>
      <c r="K85" s="7">
        <f t="shared" si="58"/>
        <v>4.9733910620063648</v>
      </c>
      <c r="L85" s="7">
        <f t="shared" si="59"/>
        <v>12.917364646345323</v>
      </c>
      <c r="M85" s="7">
        <f t="shared" si="60"/>
        <v>0</v>
      </c>
      <c r="N85" s="7">
        <f t="shared" si="61"/>
        <v>17.890755708351687</v>
      </c>
      <c r="O85" s="7">
        <f t="shared" si="62"/>
        <v>19.446473596034441</v>
      </c>
    </row>
    <row r="86" spans="2:15">
      <c r="B86" s="5">
        <f t="shared" si="56"/>
        <v>22</v>
      </c>
      <c r="C86" s="7">
        <f t="shared" si="45"/>
        <v>4.9733910620063648</v>
      </c>
      <c r="D86" s="7">
        <f t="shared" si="46"/>
        <v>0</v>
      </c>
      <c r="E86" s="7">
        <f t="shared" si="47"/>
        <v>0</v>
      </c>
      <c r="F86" s="7">
        <f t="shared" si="53"/>
        <v>12.917364646345323</v>
      </c>
      <c r="G86" s="7">
        <f t="shared" si="54"/>
        <v>17.890755708351687</v>
      </c>
      <c r="H86" s="7">
        <f t="shared" si="48"/>
        <v>19.446473596034441</v>
      </c>
      <c r="J86" s="5">
        <f t="shared" si="57"/>
        <v>22</v>
      </c>
      <c r="K86" s="7">
        <f t="shared" si="58"/>
        <v>4.9733910620063648</v>
      </c>
      <c r="L86" s="7">
        <f t="shared" si="59"/>
        <v>12.917364646345323</v>
      </c>
      <c r="M86" s="7">
        <f t="shared" si="60"/>
        <v>0</v>
      </c>
      <c r="N86" s="7">
        <f t="shared" si="61"/>
        <v>17.890755708351687</v>
      </c>
      <c r="O86" s="7">
        <f t="shared" si="62"/>
        <v>19.446473596034441</v>
      </c>
    </row>
    <row r="87" spans="2:15">
      <c r="B87" s="5">
        <f t="shared" si="56"/>
        <v>23</v>
      </c>
      <c r="C87" s="7">
        <f t="shared" si="45"/>
        <v>4.9733910620063648</v>
      </c>
      <c r="D87" s="7">
        <f t="shared" si="46"/>
        <v>0</v>
      </c>
      <c r="E87" s="7">
        <f t="shared" si="47"/>
        <v>0</v>
      </c>
      <c r="F87" s="7">
        <f t="shared" si="53"/>
        <v>12.917364646345323</v>
      </c>
      <c r="G87" s="7">
        <f t="shared" si="54"/>
        <v>17.890755708351687</v>
      </c>
      <c r="H87" s="7">
        <f t="shared" si="48"/>
        <v>19.446473596034441</v>
      </c>
      <c r="J87" s="5">
        <f t="shared" si="57"/>
        <v>23</v>
      </c>
      <c r="K87" s="7">
        <f t="shared" si="58"/>
        <v>4.9733910620063648</v>
      </c>
      <c r="L87" s="7">
        <f t="shared" si="59"/>
        <v>12.917364646345323</v>
      </c>
      <c r="M87" s="7">
        <f t="shared" si="60"/>
        <v>0</v>
      </c>
      <c r="N87" s="7">
        <f t="shared" si="61"/>
        <v>17.890755708351687</v>
      </c>
      <c r="O87" s="7">
        <f t="shared" si="62"/>
        <v>19.446473596034441</v>
      </c>
    </row>
    <row r="88" spans="2:15">
      <c r="B88" s="5">
        <f t="shared" si="56"/>
        <v>24</v>
      </c>
      <c r="C88" s="7">
        <f t="shared" si="45"/>
        <v>4.9733910620063648</v>
      </c>
      <c r="D88" s="7">
        <f t="shared" si="46"/>
        <v>0</v>
      </c>
      <c r="E88" s="7">
        <f t="shared" si="47"/>
        <v>0</v>
      </c>
      <c r="F88" s="7">
        <f t="shared" si="53"/>
        <v>12.917364646345323</v>
      </c>
      <c r="G88" s="7">
        <f t="shared" si="54"/>
        <v>17.890755708351687</v>
      </c>
      <c r="H88" s="7">
        <f t="shared" si="48"/>
        <v>19.446473596034441</v>
      </c>
      <c r="J88" s="5">
        <f t="shared" si="57"/>
        <v>24</v>
      </c>
      <c r="K88" s="7">
        <f t="shared" si="58"/>
        <v>4.9733910620063648</v>
      </c>
      <c r="L88" s="7">
        <f t="shared" si="59"/>
        <v>12.917364646345323</v>
      </c>
      <c r="M88" s="7">
        <f t="shared" si="60"/>
        <v>0</v>
      </c>
      <c r="N88" s="7">
        <f t="shared" si="61"/>
        <v>17.890755708351687</v>
      </c>
      <c r="O88" s="7">
        <f t="shared" si="62"/>
        <v>19.446473596034441</v>
      </c>
    </row>
    <row r="89" spans="2:15">
      <c r="B89" s="5">
        <f t="shared" si="56"/>
        <v>25</v>
      </c>
      <c r="C89" s="7">
        <f t="shared" si="45"/>
        <v>4.9733910620063648</v>
      </c>
      <c r="D89" s="7">
        <f t="shared" si="46"/>
        <v>0</v>
      </c>
      <c r="E89" s="7">
        <f t="shared" si="47"/>
        <v>0</v>
      </c>
      <c r="F89" s="7">
        <f t="shared" si="53"/>
        <v>12.917364646345323</v>
      </c>
      <c r="G89" s="7">
        <f t="shared" si="54"/>
        <v>17.890755708351687</v>
      </c>
      <c r="H89" s="7">
        <f t="shared" si="48"/>
        <v>19.446473596034441</v>
      </c>
      <c r="J89" s="5">
        <v>25</v>
      </c>
      <c r="K89" s="7">
        <f t="shared" si="49"/>
        <v>4.9733910620063648</v>
      </c>
      <c r="L89" s="7">
        <f t="shared" si="50"/>
        <v>12.917364646345323</v>
      </c>
      <c r="M89" s="7">
        <f t="shared" si="51"/>
        <v>0</v>
      </c>
      <c r="N89" s="7">
        <f t="shared" si="55"/>
        <v>17.890755708351687</v>
      </c>
      <c r="O89" s="7">
        <f t="shared" si="52"/>
        <v>19.446473596034441</v>
      </c>
    </row>
    <row r="90" spans="2:15">
      <c r="B90" s="187" t="s">
        <v>16</v>
      </c>
      <c r="C90" s="187"/>
      <c r="D90" s="187"/>
      <c r="E90" s="187"/>
      <c r="F90" s="187"/>
      <c r="G90" s="8">
        <f>-PMT(10%,20,NPV(10%,G65:G89))</f>
        <v>34.752359489681119</v>
      </c>
      <c r="H90" s="6">
        <f>-PMT(10%,20,NPV(10%,H65:H89))</f>
        <v>37.774303793131644</v>
      </c>
      <c r="J90" s="182" t="s">
        <v>16</v>
      </c>
      <c r="K90" s="183"/>
      <c r="L90" s="183"/>
      <c r="M90" s="184"/>
      <c r="N90" s="8">
        <f>-PMT(10%,20,NPV(10%,N65:N89))</f>
        <v>34.752359489681119</v>
      </c>
      <c r="O90" s="6">
        <f>-PMT(10%,20,NPV(10%,O65:O89))</f>
        <v>37.774303793131644</v>
      </c>
    </row>
    <row r="92" spans="2:15">
      <c r="F92" s="68">
        <f t="shared" ref="F92:F110" si="63">D65+F65</f>
        <v>25.734312267646221</v>
      </c>
    </row>
    <row r="93" spans="2:15">
      <c r="F93" s="68">
        <f t="shared" si="63"/>
        <v>26.456588133653995</v>
      </c>
    </row>
    <row r="94" spans="2:15">
      <c r="F94" s="68">
        <f t="shared" si="63"/>
        <v>27.219566547727911</v>
      </c>
    </row>
    <row r="95" spans="2:15">
      <c r="F95" s="68">
        <f t="shared" si="63"/>
        <v>28.025541228233834</v>
      </c>
    </row>
    <row r="96" spans="2:15">
      <c r="F96" s="68">
        <f t="shared" si="63"/>
        <v>28.876935151881185</v>
      </c>
    </row>
    <row r="97" spans="6:6">
      <c r="F97" s="68">
        <f t="shared" si="63"/>
        <v>29.77630783784274</v>
      </c>
    </row>
    <row r="98" spans="6:6">
      <c r="F98" s="68">
        <f t="shared" si="63"/>
        <v>30.726363042357864</v>
      </c>
    </row>
    <row r="99" spans="6:6">
      <c r="F99" s="68">
        <f t="shared" si="63"/>
        <v>31.729956886951062</v>
      </c>
    </row>
    <row r="100" spans="6:6">
      <c r="F100" s="68">
        <f t="shared" si="63"/>
        <v>32.790106444701649</v>
      </c>
    </row>
    <row r="101" spans="6:6">
      <c r="F101" s="68">
        <f t="shared" si="63"/>
        <v>33.909998810377076</v>
      </c>
    </row>
    <row r="102" spans="6:6">
      <c r="F102" s="68">
        <f t="shared" si="63"/>
        <v>12.917364646345323</v>
      </c>
    </row>
    <row r="103" spans="6:6">
      <c r="F103" s="68">
        <f t="shared" si="63"/>
        <v>12.917364646345323</v>
      </c>
    </row>
    <row r="104" spans="6:6">
      <c r="F104" s="68">
        <f t="shared" si="63"/>
        <v>12.917364646345323</v>
      </c>
    </row>
    <row r="105" spans="6:6">
      <c r="F105" s="68">
        <f t="shared" si="63"/>
        <v>12.917364646345323</v>
      </c>
    </row>
    <row r="106" spans="6:6">
      <c r="F106" s="68">
        <f t="shared" si="63"/>
        <v>12.917364646345323</v>
      </c>
    </row>
    <row r="107" spans="6:6">
      <c r="F107" s="68">
        <f t="shared" si="63"/>
        <v>12.917364646345323</v>
      </c>
    </row>
    <row r="108" spans="6:6">
      <c r="F108" s="68">
        <f t="shared" si="63"/>
        <v>12.917364646345323</v>
      </c>
    </row>
    <row r="109" spans="6:6">
      <c r="F109" s="68">
        <f t="shared" si="63"/>
        <v>12.917364646345323</v>
      </c>
    </row>
    <row r="110" spans="6:6">
      <c r="F110" s="68">
        <f t="shared" si="63"/>
        <v>12.917364646345323</v>
      </c>
    </row>
    <row r="111" spans="6:6">
      <c r="F111" s="68">
        <f t="shared" ref="F111" si="64">D89+F89</f>
        <v>12.917364646345323</v>
      </c>
    </row>
  </sheetData>
  <mergeCells count="22">
    <mergeCell ref="O62:O64"/>
    <mergeCell ref="N62:N64"/>
    <mergeCell ref="L62:M62"/>
    <mergeCell ref="G62:G64"/>
    <mergeCell ref="H62:H64"/>
    <mergeCell ref="D63:D64"/>
    <mergeCell ref="C62:C64"/>
    <mergeCell ref="J90:M90"/>
    <mergeCell ref="J62:J64"/>
    <mergeCell ref="K62:K64"/>
    <mergeCell ref="L63:L64"/>
    <mergeCell ref="M63:M64"/>
    <mergeCell ref="B90:F90"/>
    <mergeCell ref="B62:B64"/>
    <mergeCell ref="E63:E64"/>
    <mergeCell ref="F63:F64"/>
    <mergeCell ref="D62:F62"/>
    <mergeCell ref="B18:B19"/>
    <mergeCell ref="C18:C19"/>
    <mergeCell ref="D18:D19"/>
    <mergeCell ref="E18:E19"/>
    <mergeCell ref="G19:I1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1"/>
  <sheetViews>
    <sheetView topLeftCell="G1" zoomScale="90" zoomScaleNormal="90" zoomScalePageLayoutView="90" workbookViewId="0">
      <selection activeCell="I3" sqref="I3"/>
    </sheetView>
  </sheetViews>
  <sheetFormatPr baseColWidth="10" defaultColWidth="8.83203125" defaultRowHeight="15" x14ac:dyDescent="0"/>
  <cols>
    <col min="2" max="2" width="34.5" bestFit="1" customWidth="1"/>
    <col min="3" max="3" width="9.83203125" bestFit="1" customWidth="1"/>
    <col min="4" max="4" width="14.33203125" bestFit="1" customWidth="1"/>
    <col min="5" max="5" width="15.1640625" bestFit="1" customWidth="1"/>
    <col min="6" max="6" width="16.6640625" bestFit="1" customWidth="1"/>
    <col min="7" max="7" width="17.33203125" bestFit="1" customWidth="1"/>
    <col min="8" max="8" width="21.6640625" bestFit="1" customWidth="1"/>
    <col min="9" max="9" width="15.6640625" bestFit="1" customWidth="1"/>
    <col min="10" max="10" width="39.1640625" bestFit="1" customWidth="1"/>
    <col min="11" max="11" width="20.33203125" bestFit="1" customWidth="1"/>
    <col min="12" max="12" width="19.1640625" bestFit="1" customWidth="1"/>
    <col min="13" max="13" width="8.6640625" bestFit="1" customWidth="1"/>
  </cols>
  <sheetData>
    <row r="1" spans="2:21">
      <c r="H1">
        <f>1*8760*0.165</f>
        <v>1445.4</v>
      </c>
    </row>
    <row r="2" spans="2:21">
      <c r="B2" t="s">
        <v>21</v>
      </c>
      <c r="E2" t="s">
        <v>23</v>
      </c>
      <c r="H2" t="s">
        <v>44</v>
      </c>
      <c r="I2" s="66" t="s">
        <v>33</v>
      </c>
      <c r="J2" t="s">
        <v>45</v>
      </c>
      <c r="K2" t="s">
        <v>46</v>
      </c>
    </row>
    <row r="3" spans="2:21">
      <c r="B3" t="s">
        <v>22</v>
      </c>
      <c r="C3" s="70">
        <v>2818222</v>
      </c>
      <c r="E3" t="s">
        <v>24</v>
      </c>
      <c r="F3" s="70">
        <f>L23</f>
        <v>62592.22142300001</v>
      </c>
      <c r="H3" t="s">
        <v>34</v>
      </c>
      <c r="I3" s="66">
        <v>2220000</v>
      </c>
    </row>
    <row r="4" spans="2:21">
      <c r="B4" t="s">
        <v>17</v>
      </c>
      <c r="C4" s="71">
        <v>0.75</v>
      </c>
      <c r="H4" t="s">
        <v>35</v>
      </c>
      <c r="I4" s="66">
        <f>I3*80%*J4</f>
        <v>26640</v>
      </c>
      <c r="J4" s="72">
        <v>1.4999999999999999E-2</v>
      </c>
      <c r="K4" t="s">
        <v>47</v>
      </c>
      <c r="T4">
        <v>0.59</v>
      </c>
    </row>
    <row r="5" spans="2:21">
      <c r="B5" t="s">
        <v>3</v>
      </c>
      <c r="C5" s="71">
        <f>1-C4</f>
        <v>0.25</v>
      </c>
      <c r="E5" t="s">
        <v>25</v>
      </c>
      <c r="H5" t="s">
        <v>36</v>
      </c>
      <c r="I5" s="66">
        <f>I3*80%*J5</f>
        <v>15983.999999999998</v>
      </c>
      <c r="J5" s="72">
        <v>8.9999999999999993E-3</v>
      </c>
      <c r="K5" t="s">
        <v>47</v>
      </c>
      <c r="T5">
        <f>1.03-0.59</f>
        <v>0.44000000000000006</v>
      </c>
      <c r="U5">
        <f>T5/T4</f>
        <v>0.7457627118644069</v>
      </c>
    </row>
    <row r="6" spans="2:21">
      <c r="E6" t="s">
        <v>26</v>
      </c>
      <c r="F6" s="66">
        <f>H1*1000</f>
        <v>1445400</v>
      </c>
      <c r="H6" t="s">
        <v>37</v>
      </c>
      <c r="I6" s="66">
        <f>I3*J6*80%</f>
        <v>0</v>
      </c>
      <c r="J6" s="71">
        <v>0</v>
      </c>
      <c r="K6" t="s">
        <v>47</v>
      </c>
      <c r="T6">
        <f>T5/1.03</f>
        <v>0.42718446601941751</v>
      </c>
    </row>
    <row r="7" spans="2:21">
      <c r="B7" t="s">
        <v>27</v>
      </c>
      <c r="H7" t="s">
        <v>38</v>
      </c>
      <c r="I7" s="66">
        <f>SUM(I3:I6)</f>
        <v>2262624</v>
      </c>
      <c r="R7">
        <v>0.8</v>
      </c>
    </row>
    <row r="8" spans="2:21">
      <c r="B8" t="s">
        <v>17</v>
      </c>
      <c r="R8" s="76">
        <f>R7*0.9</f>
        <v>0.72000000000000008</v>
      </c>
    </row>
    <row r="9" spans="2:21">
      <c r="B9" s="66" t="s">
        <v>0</v>
      </c>
      <c r="C9" s="72">
        <v>9.1999999999999998E-3</v>
      </c>
      <c r="D9" s="66"/>
      <c r="E9" s="66" t="s">
        <v>17</v>
      </c>
      <c r="F9" s="70">
        <f>C3*C4</f>
        <v>2113666.5</v>
      </c>
      <c r="G9" s="66"/>
      <c r="H9" t="s">
        <v>39</v>
      </c>
      <c r="I9" s="66">
        <f>M15</f>
        <v>274400</v>
      </c>
      <c r="J9" s="66" t="s">
        <v>50</v>
      </c>
      <c r="K9" s="66"/>
      <c r="L9" t="s">
        <v>39</v>
      </c>
      <c r="M9" s="66"/>
      <c r="N9" s="66"/>
      <c r="O9" s="66"/>
      <c r="P9" s="66"/>
      <c r="Q9" s="66"/>
      <c r="R9" s="75">
        <f>SUM(R7:R8)</f>
        <v>1.52</v>
      </c>
      <c r="S9" s="66"/>
      <c r="T9" s="66"/>
      <c r="U9" s="66"/>
    </row>
    <row r="10" spans="2:21">
      <c r="B10" s="66" t="s">
        <v>1</v>
      </c>
      <c r="C10" s="72">
        <v>4.5999999999999999E-2</v>
      </c>
      <c r="D10" s="66"/>
      <c r="E10" s="66"/>
      <c r="F10" s="66"/>
      <c r="G10" s="66"/>
      <c r="H10" t="s">
        <v>40</v>
      </c>
      <c r="I10" s="66">
        <v>60000</v>
      </c>
      <c r="J10" s="66" t="s">
        <v>51</v>
      </c>
      <c r="K10" s="66"/>
      <c r="L10" s="66" t="s">
        <v>53</v>
      </c>
      <c r="M10" s="66">
        <v>50000</v>
      </c>
      <c r="N10" s="66"/>
      <c r="O10" s="66"/>
      <c r="P10" s="66"/>
      <c r="Q10" s="66"/>
      <c r="R10" s="75">
        <f>R9*0.025</f>
        <v>3.8000000000000006E-2</v>
      </c>
      <c r="S10" s="66"/>
      <c r="T10" s="66"/>
      <c r="U10" s="66"/>
    </row>
    <row r="11" spans="2:21">
      <c r="B11" s="66" t="s">
        <v>2</v>
      </c>
      <c r="C11" s="72">
        <f>SUM(C9:C10)</f>
        <v>5.5199999999999999E-2</v>
      </c>
      <c r="D11" s="66"/>
      <c r="E11" s="66" t="s">
        <v>3</v>
      </c>
      <c r="F11" s="70">
        <f>C3-F19</f>
        <v>704555.5</v>
      </c>
      <c r="G11" s="66"/>
      <c r="H11" t="s">
        <v>41</v>
      </c>
      <c r="I11" s="66">
        <f>I7*1.35%</f>
        <v>30545.424000000003</v>
      </c>
      <c r="J11" s="72">
        <v>1.35E-2</v>
      </c>
      <c r="K11" s="66" t="s">
        <v>48</v>
      </c>
      <c r="L11" s="66" t="s">
        <v>54</v>
      </c>
      <c r="M11" s="66">
        <v>50000</v>
      </c>
      <c r="N11" s="66"/>
      <c r="O11" s="66"/>
      <c r="P11" s="66"/>
      <c r="Q11" s="66"/>
      <c r="R11" s="75">
        <f>R9*0.3</f>
        <v>0.45599999999999996</v>
      </c>
      <c r="S11" s="66"/>
      <c r="T11" s="66"/>
      <c r="U11" s="66"/>
    </row>
    <row r="12" spans="2:21">
      <c r="B12" s="66"/>
      <c r="C12" s="72"/>
      <c r="D12" s="66"/>
      <c r="E12" s="66" t="s">
        <v>19</v>
      </c>
      <c r="F12" s="70">
        <f>F11*C14</f>
        <v>126819.98999999999</v>
      </c>
      <c r="G12" s="66"/>
      <c r="H12" t="s">
        <v>42</v>
      </c>
      <c r="I12" s="66">
        <f>C3*C4*C11</f>
        <v>116674.39079999999</v>
      </c>
      <c r="J12" s="66" t="s">
        <v>52</v>
      </c>
      <c r="K12" s="66"/>
      <c r="L12" s="66" t="s">
        <v>55</v>
      </c>
      <c r="M12" s="66">
        <v>100000</v>
      </c>
      <c r="N12" s="66"/>
      <c r="O12" s="66"/>
      <c r="P12" s="66"/>
      <c r="Q12" s="66"/>
      <c r="R12" s="75">
        <f>SUM(R9:R11)</f>
        <v>2.0140000000000002</v>
      </c>
      <c r="S12" s="66"/>
      <c r="T12" s="66"/>
      <c r="U12" s="66"/>
    </row>
    <row r="13" spans="2:21">
      <c r="B13" s="66" t="s">
        <v>3</v>
      </c>
      <c r="C13" s="72"/>
      <c r="D13" s="66"/>
      <c r="E13" s="66" t="s">
        <v>20</v>
      </c>
      <c r="F13" s="70">
        <f>F11+F12</f>
        <v>831375.49</v>
      </c>
      <c r="G13" s="66"/>
      <c r="H13" t="s">
        <v>43</v>
      </c>
      <c r="I13" s="66">
        <f>C3*C4*J13</f>
        <v>73978.327500000014</v>
      </c>
      <c r="J13" s="72">
        <v>3.5000000000000003E-2</v>
      </c>
      <c r="K13" s="66" t="s">
        <v>49</v>
      </c>
      <c r="L13" s="66" t="s">
        <v>56</v>
      </c>
      <c r="M13" s="66">
        <f>I3*0.02</f>
        <v>44400</v>
      </c>
      <c r="N13" s="66"/>
      <c r="O13" s="66"/>
      <c r="P13" s="66"/>
      <c r="Q13" s="66"/>
      <c r="R13" s="75">
        <f>R12*1.1</f>
        <v>2.2154000000000003</v>
      </c>
      <c r="S13" s="66"/>
      <c r="T13" s="66"/>
      <c r="U13" s="66"/>
    </row>
    <row r="14" spans="2:21">
      <c r="B14" s="66" t="s">
        <v>11</v>
      </c>
      <c r="C14" s="71">
        <v>0.18</v>
      </c>
      <c r="D14" s="66"/>
      <c r="E14" s="66"/>
      <c r="F14" s="66"/>
      <c r="G14" s="66"/>
      <c r="I14" s="66"/>
      <c r="J14" s="66"/>
      <c r="K14" s="66"/>
      <c r="L14" s="66" t="s">
        <v>57</v>
      </c>
      <c r="M14" s="66">
        <v>30000</v>
      </c>
      <c r="N14" s="66"/>
      <c r="O14" s="66"/>
      <c r="P14" s="66"/>
      <c r="Q14" s="66"/>
      <c r="R14" s="66"/>
      <c r="S14" s="66"/>
      <c r="T14" s="66"/>
      <c r="U14" s="66"/>
    </row>
    <row r="15" spans="2:21">
      <c r="B15" s="66"/>
      <c r="C15" s="72"/>
      <c r="D15" s="66"/>
      <c r="E15" s="66" t="s">
        <v>6</v>
      </c>
      <c r="F15" s="66">
        <v>92</v>
      </c>
      <c r="G15" s="66"/>
      <c r="H15" t="s">
        <v>2</v>
      </c>
      <c r="I15" s="66">
        <f>SUM(I7:I14)</f>
        <v>2818222.1423000004</v>
      </c>
      <c r="J15" s="66"/>
      <c r="K15" s="66"/>
      <c r="L15" s="66"/>
      <c r="M15" s="66">
        <f>SUM(M10:M14)</f>
        <v>274400</v>
      </c>
      <c r="N15" s="66"/>
      <c r="O15" s="66"/>
      <c r="P15" s="66"/>
      <c r="Q15" s="66"/>
      <c r="R15" s="66"/>
      <c r="S15" s="66"/>
      <c r="T15" s="66"/>
      <c r="U15" s="66"/>
    </row>
    <row r="16" spans="2:21">
      <c r="B16" s="66"/>
      <c r="C16" s="66"/>
      <c r="D16" s="66"/>
      <c r="E16" s="66"/>
      <c r="F16" s="66"/>
      <c r="G16" s="66"/>
      <c r="H16" s="66"/>
      <c r="I16" s="66"/>
      <c r="J16" s="66">
        <f>I15+F12</f>
        <v>2945042.1323000006</v>
      </c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2:21">
      <c r="B17" s="66" t="s">
        <v>28</v>
      </c>
      <c r="C17" s="66"/>
      <c r="D17" s="66"/>
      <c r="E17" s="66"/>
      <c r="F17" s="66"/>
      <c r="G17" s="66"/>
      <c r="H17" s="66">
        <f>F11*C14</f>
        <v>126819.98999999999</v>
      </c>
      <c r="I17" s="66"/>
      <c r="J17" s="66">
        <f>F9*86</f>
        <v>181775319</v>
      </c>
      <c r="K17" s="66">
        <f>F9*C11*1.33</f>
        <v>155176.93976400001</v>
      </c>
      <c r="L17" s="66"/>
      <c r="M17" s="66">
        <f>2853000/50</f>
        <v>57060</v>
      </c>
      <c r="N17" s="66"/>
      <c r="O17" s="66"/>
      <c r="P17" s="66"/>
      <c r="Q17" s="66"/>
      <c r="R17" s="66"/>
      <c r="S17" s="66"/>
      <c r="T17" s="66"/>
      <c r="U17" s="66"/>
    </row>
    <row r="18" spans="2:21">
      <c r="B18" s="66" t="s">
        <v>30</v>
      </c>
      <c r="C18" s="70" t="s">
        <v>7</v>
      </c>
      <c r="D18" s="70" t="s">
        <v>8</v>
      </c>
      <c r="E18" s="70" t="s">
        <v>12</v>
      </c>
      <c r="F18" s="66" t="s">
        <v>4</v>
      </c>
      <c r="G18" s="70" t="s">
        <v>7</v>
      </c>
      <c r="H18" s="70" t="s">
        <v>8</v>
      </c>
      <c r="I18" s="70" t="s">
        <v>12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2:21">
      <c r="B19" s="66"/>
      <c r="C19" s="70"/>
      <c r="D19" s="70"/>
      <c r="E19" s="70"/>
      <c r="F19" s="70">
        <f>C3*C4</f>
        <v>2113666.5</v>
      </c>
      <c r="G19" s="70" t="s">
        <v>29</v>
      </c>
      <c r="H19" s="70"/>
      <c r="I19" s="70"/>
      <c r="J19" s="73">
        <f>F6/438000/1000</f>
        <v>3.3E-3</v>
      </c>
      <c r="K19" s="66"/>
      <c r="L19" s="66">
        <f>I15*0.01</f>
        <v>28182.221423000006</v>
      </c>
      <c r="M19" s="66"/>
      <c r="N19" s="66"/>
      <c r="O19" s="66"/>
      <c r="P19" s="66"/>
      <c r="Q19" s="74"/>
      <c r="R19" s="66"/>
      <c r="S19" s="66"/>
      <c r="T19" s="66"/>
      <c r="U19" s="66"/>
    </row>
    <row r="20" spans="2:21">
      <c r="B20">
        <v>1</v>
      </c>
      <c r="C20" s="70">
        <f>E20-D20</f>
        <v>39947.092195782883</v>
      </c>
      <c r="D20" s="70">
        <f>F19*$C$11/4</f>
        <v>29168.597699999998</v>
      </c>
      <c r="E20" s="70">
        <f>PMT($C$11/4,40,-$F$19)</f>
        <v>69115.689895782882</v>
      </c>
      <c r="F20" s="70">
        <f>F19-C20</f>
        <v>2073719.4078042172</v>
      </c>
      <c r="G20" s="75">
        <f t="shared" ref="G20:I20" si="0">IF(MOD($B20,4)=0,SUM(C17:C20),0)/$F$6*$F$15</f>
        <v>0</v>
      </c>
      <c r="H20" s="75">
        <f t="shared" si="0"/>
        <v>0</v>
      </c>
      <c r="I20" s="75">
        <f t="shared" si="0"/>
        <v>0</v>
      </c>
      <c r="J20" s="66">
        <f>F11*86</f>
        <v>60591773</v>
      </c>
      <c r="K20" s="66"/>
      <c r="L20" s="66">
        <f>I3*0.0135</f>
        <v>29970</v>
      </c>
      <c r="M20" s="66"/>
      <c r="N20" s="66"/>
      <c r="O20" s="66"/>
      <c r="P20" s="66"/>
      <c r="Q20" s="66"/>
      <c r="R20" s="66"/>
      <c r="S20" s="66"/>
      <c r="T20" s="66"/>
      <c r="U20" s="66"/>
    </row>
    <row r="21" spans="2:21">
      <c r="B21">
        <f>B20+1</f>
        <v>2</v>
      </c>
      <c r="C21" s="70">
        <f t="shared" ref="C21:C59" si="1">E21-D21</f>
        <v>40498.36206808468</v>
      </c>
      <c r="D21" s="70">
        <f t="shared" ref="D21:D59" si="2">F20*$C$11/4</f>
        <v>28617.327827698198</v>
      </c>
      <c r="E21" s="70">
        <f t="shared" ref="E21:E59" si="3">PMT($C$11/4,40,-$F$19)</f>
        <v>69115.689895782882</v>
      </c>
      <c r="F21" s="70">
        <f t="shared" ref="F21:F59" si="4">F20-C21</f>
        <v>2033221.0457361324</v>
      </c>
      <c r="G21" s="75">
        <f t="shared" ref="G21:I23" si="5">IF(MOD($B21,4)=0,SUM(C18:C21),0)/$F$6*$F$15</f>
        <v>0</v>
      </c>
      <c r="H21" s="75">
        <f t="shared" si="5"/>
        <v>0</v>
      </c>
      <c r="I21" s="75">
        <f t="shared" si="5"/>
        <v>0</v>
      </c>
      <c r="J21" s="66">
        <f>I15+F12</f>
        <v>2945042.1323000006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2:21">
      <c r="B22">
        <f t="shared" ref="B22:B59" si="6">B21+1</f>
        <v>3</v>
      </c>
      <c r="C22" s="70">
        <f t="shared" si="1"/>
        <v>41057.239464624254</v>
      </c>
      <c r="D22" s="70">
        <f t="shared" si="2"/>
        <v>28058.450431158628</v>
      </c>
      <c r="E22" s="70">
        <f t="shared" si="3"/>
        <v>69115.689895782882</v>
      </c>
      <c r="F22" s="70">
        <f t="shared" si="4"/>
        <v>1992163.8062715081</v>
      </c>
      <c r="G22" s="75">
        <f t="shared" si="5"/>
        <v>0</v>
      </c>
      <c r="H22" s="75">
        <f t="shared" si="5"/>
        <v>0</v>
      </c>
      <c r="I22" s="75">
        <f t="shared" si="5"/>
        <v>0</v>
      </c>
      <c r="J22" s="66"/>
      <c r="K22" s="66"/>
      <c r="L22" s="66">
        <f>I3*0.002</f>
        <v>4440</v>
      </c>
      <c r="M22" s="66"/>
      <c r="N22" s="66"/>
      <c r="O22" s="66"/>
      <c r="P22" s="66"/>
      <c r="Q22" s="66"/>
      <c r="R22" s="66"/>
      <c r="S22" s="66"/>
      <c r="T22" s="66"/>
      <c r="U22" s="66"/>
    </row>
    <row r="23" spans="2:21">
      <c r="B23">
        <f t="shared" si="6"/>
        <v>4</v>
      </c>
      <c r="C23" s="70">
        <f t="shared" si="1"/>
        <v>41623.829369236075</v>
      </c>
      <c r="D23" s="70">
        <f t="shared" si="2"/>
        <v>27491.86052654681</v>
      </c>
      <c r="E23" s="70">
        <f t="shared" si="3"/>
        <v>69115.689895782882</v>
      </c>
      <c r="F23" s="70">
        <f t="shared" si="4"/>
        <v>1950539.9769022721</v>
      </c>
      <c r="G23" s="75">
        <f>IF(MOD($B23,4)=0,SUM(C20:C23),0)/$F$6*$F$15</f>
        <v>10.383035924305359</v>
      </c>
      <c r="H23" s="75">
        <f t="shared" si="5"/>
        <v>7.2138741916819802</v>
      </c>
      <c r="I23" s="75">
        <f t="shared" si="5"/>
        <v>17.596910115987338</v>
      </c>
      <c r="J23" s="66"/>
      <c r="K23" s="66"/>
      <c r="L23" s="66">
        <f>SUM(L19:L22)</f>
        <v>62592.22142300001</v>
      </c>
      <c r="M23" s="66"/>
      <c r="N23" s="66"/>
      <c r="O23" s="66"/>
      <c r="P23" s="66"/>
      <c r="Q23" s="66"/>
      <c r="R23" s="66"/>
      <c r="S23" s="66"/>
      <c r="T23" s="66"/>
      <c r="U23" s="66"/>
    </row>
    <row r="24" spans="2:21">
      <c r="B24">
        <f t="shared" si="6"/>
        <v>5</v>
      </c>
      <c r="C24" s="70">
        <f t="shared" si="1"/>
        <v>42198.238214531528</v>
      </c>
      <c r="D24" s="70">
        <f t="shared" si="2"/>
        <v>26917.451681251354</v>
      </c>
      <c r="E24" s="70">
        <f t="shared" si="3"/>
        <v>69115.689895782882</v>
      </c>
      <c r="F24" s="70">
        <f t="shared" si="4"/>
        <v>1908341.7386877406</v>
      </c>
      <c r="G24" s="75">
        <f t="shared" ref="G24:I39" si="7">IF(MOD($B24,4)=0,SUM(C21:C24),0)/$F$6*$F$15</f>
        <v>0</v>
      </c>
      <c r="H24" s="75">
        <f t="shared" si="7"/>
        <v>0</v>
      </c>
      <c r="I24" s="75">
        <f t="shared" si="7"/>
        <v>0</v>
      </c>
    </row>
    <row r="25" spans="2:21">
      <c r="B25">
        <f t="shared" si="6"/>
        <v>6</v>
      </c>
      <c r="C25" s="70">
        <f t="shared" si="1"/>
        <v>42780.573901892058</v>
      </c>
      <c r="D25" s="70">
        <f t="shared" si="2"/>
        <v>26335.11599389082</v>
      </c>
      <c r="E25" s="70">
        <f t="shared" si="3"/>
        <v>69115.689895782882</v>
      </c>
      <c r="F25" s="70">
        <f t="shared" si="4"/>
        <v>1865561.1647858485</v>
      </c>
      <c r="G25" s="75">
        <f t="shared" si="7"/>
        <v>0</v>
      </c>
      <c r="H25" s="75">
        <f t="shared" si="7"/>
        <v>0</v>
      </c>
      <c r="I25" s="75">
        <f t="shared" si="7"/>
        <v>0</v>
      </c>
      <c r="U25" s="2"/>
    </row>
    <row r="26" spans="2:21">
      <c r="B26">
        <f t="shared" si="6"/>
        <v>7</v>
      </c>
      <c r="C26" s="70">
        <f t="shared" si="1"/>
        <v>43370.945821738176</v>
      </c>
      <c r="D26" s="70">
        <f t="shared" si="2"/>
        <v>25744.744074044709</v>
      </c>
      <c r="E26" s="70">
        <f t="shared" si="3"/>
        <v>69115.689895782882</v>
      </c>
      <c r="F26" s="70">
        <f t="shared" si="4"/>
        <v>1822190.2189641104</v>
      </c>
      <c r="G26" s="75">
        <f t="shared" si="7"/>
        <v>0</v>
      </c>
      <c r="H26" s="75">
        <f t="shared" si="7"/>
        <v>0</v>
      </c>
      <c r="I26" s="75">
        <f t="shared" si="7"/>
        <v>0</v>
      </c>
    </row>
    <row r="27" spans="2:21">
      <c r="B27">
        <f t="shared" si="6"/>
        <v>8</v>
      </c>
      <c r="C27" s="70">
        <f t="shared" si="1"/>
        <v>43969.464874078156</v>
      </c>
      <c r="D27" s="70">
        <f t="shared" si="2"/>
        <v>25146.225021704722</v>
      </c>
      <c r="E27" s="70">
        <f t="shared" si="3"/>
        <v>69115.689895782882</v>
      </c>
      <c r="F27" s="70">
        <f t="shared" si="4"/>
        <v>1778220.7540900323</v>
      </c>
      <c r="G27" s="75">
        <f t="shared" si="7"/>
        <v>10.968153105525165</v>
      </c>
      <c r="H27" s="75">
        <f t="shared" si="7"/>
        <v>6.6287570104621745</v>
      </c>
      <c r="I27" s="75">
        <f t="shared" si="7"/>
        <v>17.596910115987338</v>
      </c>
    </row>
    <row r="28" spans="2:21">
      <c r="B28">
        <f t="shared" si="6"/>
        <v>9</v>
      </c>
      <c r="C28" s="70">
        <f t="shared" si="1"/>
        <v>44576.243489340435</v>
      </c>
      <c r="D28" s="70">
        <f t="shared" si="2"/>
        <v>24539.446406442446</v>
      </c>
      <c r="E28" s="70">
        <f t="shared" si="3"/>
        <v>69115.689895782882</v>
      </c>
      <c r="F28" s="70">
        <f t="shared" si="4"/>
        <v>1733644.5106006919</v>
      </c>
      <c r="G28" s="75">
        <f t="shared" si="7"/>
        <v>0</v>
      </c>
      <c r="H28" s="75">
        <f t="shared" si="7"/>
        <v>0</v>
      </c>
      <c r="I28" s="75">
        <f t="shared" si="7"/>
        <v>0</v>
      </c>
    </row>
    <row r="29" spans="2:21">
      <c r="B29">
        <f t="shared" si="6"/>
        <v>10</v>
      </c>
      <c r="C29" s="70">
        <f t="shared" si="1"/>
        <v>45191.395649493337</v>
      </c>
      <c r="D29" s="70">
        <f t="shared" si="2"/>
        <v>23924.294246289548</v>
      </c>
      <c r="E29" s="70">
        <f t="shared" si="3"/>
        <v>69115.689895782882</v>
      </c>
      <c r="F29" s="70">
        <f t="shared" si="4"/>
        <v>1688453.1149511985</v>
      </c>
      <c r="G29" s="75">
        <f t="shared" si="7"/>
        <v>0</v>
      </c>
      <c r="H29" s="75">
        <f t="shared" si="7"/>
        <v>0</v>
      </c>
      <c r="I29" s="75">
        <f t="shared" si="7"/>
        <v>0</v>
      </c>
    </row>
    <row r="30" spans="2:21">
      <c r="B30">
        <f t="shared" si="6"/>
        <v>11</v>
      </c>
      <c r="C30" s="70">
        <f t="shared" si="1"/>
        <v>45815.036909456343</v>
      </c>
      <c r="D30" s="70">
        <f t="shared" si="2"/>
        <v>23300.652986326539</v>
      </c>
      <c r="E30" s="70">
        <f t="shared" si="3"/>
        <v>69115.689895782882</v>
      </c>
      <c r="F30" s="70">
        <f t="shared" si="4"/>
        <v>1642638.0780417421</v>
      </c>
      <c r="G30" s="75">
        <f t="shared" si="7"/>
        <v>0</v>
      </c>
      <c r="H30" s="75">
        <f t="shared" si="7"/>
        <v>0</v>
      </c>
      <c r="I30" s="75">
        <f t="shared" si="7"/>
        <v>0</v>
      </c>
    </row>
    <row r="31" spans="2:21">
      <c r="B31">
        <f t="shared" si="6"/>
        <v>12</v>
      </c>
      <c r="C31" s="70">
        <f t="shared" si="1"/>
        <v>46447.284418806841</v>
      </c>
      <c r="D31" s="70">
        <f t="shared" si="2"/>
        <v>22668.405476976041</v>
      </c>
      <c r="E31" s="70">
        <f t="shared" si="3"/>
        <v>69115.689895782882</v>
      </c>
      <c r="F31" s="70">
        <f t="shared" si="4"/>
        <v>1596190.7936229352</v>
      </c>
      <c r="G31" s="75">
        <f t="shared" si="7"/>
        <v>11.586243505585248</v>
      </c>
      <c r="H31" s="75">
        <f t="shared" si="7"/>
        <v>6.0106666104020903</v>
      </c>
      <c r="I31" s="75">
        <f t="shared" si="7"/>
        <v>17.596910115987338</v>
      </c>
    </row>
    <row r="32" spans="2:21">
      <c r="B32">
        <f t="shared" si="6"/>
        <v>13</v>
      </c>
      <c r="C32" s="70">
        <f t="shared" si="1"/>
        <v>47088.256943786371</v>
      </c>
      <c r="D32" s="70">
        <f t="shared" si="2"/>
        <v>22027.432951996507</v>
      </c>
      <c r="E32" s="70">
        <f t="shared" si="3"/>
        <v>69115.689895782882</v>
      </c>
      <c r="F32" s="70">
        <f t="shared" si="4"/>
        <v>1549102.5366791489</v>
      </c>
      <c r="G32" s="75">
        <f t="shared" si="7"/>
        <v>0</v>
      </c>
      <c r="H32" s="75">
        <f t="shared" si="7"/>
        <v>0</v>
      </c>
      <c r="I32" s="75">
        <f t="shared" si="7"/>
        <v>0</v>
      </c>
    </row>
    <row r="33" spans="2:9">
      <c r="B33">
        <f t="shared" si="6"/>
        <v>14</v>
      </c>
      <c r="C33" s="70">
        <f t="shared" si="1"/>
        <v>47738.074889610623</v>
      </c>
      <c r="D33" s="70">
        <f t="shared" si="2"/>
        <v>21377.615006172255</v>
      </c>
      <c r="E33" s="70">
        <f t="shared" si="3"/>
        <v>69115.689895782882</v>
      </c>
      <c r="F33" s="70">
        <f t="shared" si="4"/>
        <v>1501364.4617895384</v>
      </c>
      <c r="G33" s="75">
        <f t="shared" si="7"/>
        <v>0</v>
      </c>
      <c r="H33" s="75">
        <f t="shared" si="7"/>
        <v>0</v>
      </c>
      <c r="I33" s="75">
        <f t="shared" si="7"/>
        <v>0</v>
      </c>
    </row>
    <row r="34" spans="2:9">
      <c r="B34">
        <f t="shared" si="6"/>
        <v>15</v>
      </c>
      <c r="C34" s="70">
        <f t="shared" si="1"/>
        <v>48396.860323087254</v>
      </c>
      <c r="D34" s="70">
        <f t="shared" si="2"/>
        <v>20718.829572695628</v>
      </c>
      <c r="E34" s="70">
        <f t="shared" si="3"/>
        <v>69115.689895782882</v>
      </c>
      <c r="F34" s="70">
        <f t="shared" si="4"/>
        <v>1452967.6014664511</v>
      </c>
      <c r="G34" s="75">
        <f t="shared" si="7"/>
        <v>0</v>
      </c>
      <c r="H34" s="75">
        <f t="shared" si="7"/>
        <v>0</v>
      </c>
      <c r="I34" s="75">
        <f t="shared" si="7"/>
        <v>0</v>
      </c>
    </row>
    <row r="35" spans="2:9">
      <c r="B35">
        <f t="shared" si="6"/>
        <v>16</v>
      </c>
      <c r="C35" s="70">
        <f t="shared" si="1"/>
        <v>49064.736995545856</v>
      </c>
      <c r="D35" s="70">
        <f t="shared" si="2"/>
        <v>20050.952900237025</v>
      </c>
      <c r="E35" s="70">
        <f t="shared" si="3"/>
        <v>69115.689895782882</v>
      </c>
      <c r="F35" s="70">
        <f t="shared" si="4"/>
        <v>1403902.8644709052</v>
      </c>
      <c r="G35" s="75">
        <f t="shared" si="7"/>
        <v>12.239165270504198</v>
      </c>
      <c r="H35" s="75">
        <f t="shared" si="7"/>
        <v>5.3577448454831389</v>
      </c>
      <c r="I35" s="75">
        <f t="shared" si="7"/>
        <v>17.596910115987338</v>
      </c>
    </row>
    <row r="36" spans="2:9">
      <c r="B36">
        <f t="shared" si="6"/>
        <v>17</v>
      </c>
      <c r="C36" s="70">
        <f t="shared" si="1"/>
        <v>49741.830366084396</v>
      </c>
      <c r="D36" s="70">
        <f t="shared" si="2"/>
        <v>19373.859529698489</v>
      </c>
      <c r="E36" s="70">
        <f t="shared" si="3"/>
        <v>69115.689895782882</v>
      </c>
      <c r="F36" s="70">
        <f t="shared" si="4"/>
        <v>1354161.0341048208</v>
      </c>
      <c r="G36" s="75">
        <f t="shared" si="7"/>
        <v>0</v>
      </c>
      <c r="H36" s="75">
        <f t="shared" si="7"/>
        <v>0</v>
      </c>
      <c r="I36" s="75">
        <f t="shared" si="7"/>
        <v>0</v>
      </c>
    </row>
    <row r="37" spans="2:9">
      <c r="B37">
        <f t="shared" si="6"/>
        <v>18</v>
      </c>
      <c r="C37" s="70">
        <f t="shared" si="1"/>
        <v>50428.267625136359</v>
      </c>
      <c r="D37" s="70">
        <f t="shared" si="2"/>
        <v>18687.422270646526</v>
      </c>
      <c r="E37" s="70">
        <f t="shared" si="3"/>
        <v>69115.689895782882</v>
      </c>
      <c r="F37" s="70">
        <f t="shared" si="4"/>
        <v>1303732.7664796845</v>
      </c>
      <c r="G37" s="75">
        <f t="shared" si="7"/>
        <v>0</v>
      </c>
      <c r="H37" s="75">
        <f t="shared" si="7"/>
        <v>0</v>
      </c>
      <c r="I37" s="75">
        <f t="shared" si="7"/>
        <v>0</v>
      </c>
    </row>
    <row r="38" spans="2:9">
      <c r="B38">
        <f t="shared" si="6"/>
        <v>19</v>
      </c>
      <c r="C38" s="70">
        <f t="shared" si="1"/>
        <v>51124.177718363237</v>
      </c>
      <c r="D38" s="70">
        <f t="shared" si="2"/>
        <v>17991.512177419645</v>
      </c>
      <c r="E38" s="70">
        <f t="shared" si="3"/>
        <v>69115.689895782882</v>
      </c>
      <c r="F38" s="70">
        <f t="shared" si="4"/>
        <v>1252608.5887613213</v>
      </c>
      <c r="G38" s="75">
        <f t="shared" si="7"/>
        <v>0</v>
      </c>
      <c r="H38" s="75">
        <f t="shared" si="7"/>
        <v>0</v>
      </c>
      <c r="I38" s="75">
        <f t="shared" si="7"/>
        <v>0</v>
      </c>
    </row>
    <row r="39" spans="2:9">
      <c r="B39">
        <f t="shared" si="6"/>
        <v>20</v>
      </c>
      <c r="C39" s="70">
        <f t="shared" si="1"/>
        <v>51829.691370876651</v>
      </c>
      <c r="D39" s="70">
        <f t="shared" si="2"/>
        <v>17285.998524906234</v>
      </c>
      <c r="E39" s="70">
        <f t="shared" si="3"/>
        <v>69115.689895782882</v>
      </c>
      <c r="F39" s="70">
        <f t="shared" si="4"/>
        <v>1200778.8973904445</v>
      </c>
      <c r="G39" s="75">
        <f t="shared" si="7"/>
        <v>12.928881258753549</v>
      </c>
      <c r="H39" s="75">
        <f t="shared" si="7"/>
        <v>4.6680288572337911</v>
      </c>
      <c r="I39" s="75">
        <f t="shared" si="7"/>
        <v>17.596910115987338</v>
      </c>
    </row>
    <row r="40" spans="2:9">
      <c r="B40">
        <f t="shared" si="6"/>
        <v>21</v>
      </c>
      <c r="C40" s="70">
        <f t="shared" si="1"/>
        <v>52544.941111794746</v>
      </c>
      <c r="D40" s="70">
        <f t="shared" si="2"/>
        <v>16570.748783988136</v>
      </c>
      <c r="E40" s="70">
        <f t="shared" si="3"/>
        <v>69115.689895782882</v>
      </c>
      <c r="F40" s="70">
        <f t="shared" si="4"/>
        <v>1148233.9562786499</v>
      </c>
      <c r="G40" s="75">
        <f t="shared" ref="G40:I55" si="8">IF(MOD($B40,4)=0,SUM(C37:C40),0)/$F$6*$F$15</f>
        <v>0</v>
      </c>
      <c r="H40" s="75">
        <f t="shared" si="8"/>
        <v>0</v>
      </c>
      <c r="I40" s="75">
        <f t="shared" si="8"/>
        <v>0</v>
      </c>
    </row>
    <row r="41" spans="2:9">
      <c r="B41">
        <f t="shared" si="6"/>
        <v>22</v>
      </c>
      <c r="C41" s="70">
        <f t="shared" si="1"/>
        <v>53270.061299137516</v>
      </c>
      <c r="D41" s="70">
        <f t="shared" si="2"/>
        <v>15845.628596645367</v>
      </c>
      <c r="E41" s="70">
        <f t="shared" si="3"/>
        <v>69115.689895782882</v>
      </c>
      <c r="F41" s="70">
        <f t="shared" si="4"/>
        <v>1094963.8949795123</v>
      </c>
      <c r="G41" s="75">
        <f t="shared" si="8"/>
        <v>0</v>
      </c>
      <c r="H41" s="75">
        <f t="shared" si="8"/>
        <v>0</v>
      </c>
      <c r="I41" s="75">
        <f t="shared" si="8"/>
        <v>0</v>
      </c>
    </row>
    <row r="42" spans="2:9">
      <c r="B42">
        <f t="shared" si="6"/>
        <v>23</v>
      </c>
      <c r="C42" s="70">
        <f t="shared" si="1"/>
        <v>54005.188145065607</v>
      </c>
      <c r="D42" s="70">
        <f t="shared" si="2"/>
        <v>15110.501750717271</v>
      </c>
      <c r="E42" s="70">
        <f t="shared" si="3"/>
        <v>69115.689895782882</v>
      </c>
      <c r="F42" s="70">
        <f t="shared" si="4"/>
        <v>1040958.7068344468</v>
      </c>
      <c r="G42" s="75">
        <f t="shared" si="8"/>
        <v>0</v>
      </c>
      <c r="H42" s="75">
        <f t="shared" si="8"/>
        <v>0</v>
      </c>
      <c r="I42" s="75">
        <f t="shared" si="8"/>
        <v>0</v>
      </c>
    </row>
    <row r="43" spans="2:9">
      <c r="B43">
        <f t="shared" si="6"/>
        <v>24</v>
      </c>
      <c r="C43" s="70">
        <f t="shared" si="1"/>
        <v>54750.459741467515</v>
      </c>
      <c r="D43" s="70">
        <f t="shared" si="2"/>
        <v>14365.230154315364</v>
      </c>
      <c r="E43" s="70">
        <f t="shared" si="3"/>
        <v>69115.689895782882</v>
      </c>
      <c r="F43" s="70">
        <f t="shared" si="4"/>
        <v>986208.24709297926</v>
      </c>
      <c r="G43" s="75">
        <f t="shared" si="8"/>
        <v>13.657464942138382</v>
      </c>
      <c r="H43" s="75">
        <f t="shared" si="8"/>
        <v>3.9394451738489584</v>
      </c>
      <c r="I43" s="75">
        <f t="shared" si="8"/>
        <v>17.596910115987338</v>
      </c>
    </row>
    <row r="44" spans="2:9">
      <c r="B44">
        <f t="shared" si="6"/>
        <v>25</v>
      </c>
      <c r="C44" s="70">
        <f t="shared" si="1"/>
        <v>55506.01608589977</v>
      </c>
      <c r="D44" s="70">
        <f t="shared" si="2"/>
        <v>13609.673809883114</v>
      </c>
      <c r="E44" s="70">
        <f t="shared" si="3"/>
        <v>69115.689895782882</v>
      </c>
      <c r="F44" s="70">
        <f t="shared" si="4"/>
        <v>930702.23100707948</v>
      </c>
      <c r="G44" s="75">
        <f t="shared" si="8"/>
        <v>0</v>
      </c>
      <c r="H44" s="75">
        <f t="shared" si="8"/>
        <v>0</v>
      </c>
      <c r="I44" s="75">
        <f t="shared" si="8"/>
        <v>0</v>
      </c>
    </row>
    <row r="45" spans="2:9">
      <c r="B45">
        <f t="shared" si="6"/>
        <v>26</v>
      </c>
      <c r="C45" s="70">
        <f t="shared" si="1"/>
        <v>56271.999107885189</v>
      </c>
      <c r="D45" s="70">
        <f t="shared" si="2"/>
        <v>12843.690787897696</v>
      </c>
      <c r="E45" s="70">
        <f t="shared" si="3"/>
        <v>69115.689895782882</v>
      </c>
      <c r="F45" s="70">
        <f t="shared" si="4"/>
        <v>874430.2318991943</v>
      </c>
      <c r="G45" s="75">
        <f t="shared" si="8"/>
        <v>0</v>
      </c>
      <c r="H45" s="75">
        <f t="shared" si="8"/>
        <v>0</v>
      </c>
      <c r="I45" s="75">
        <f t="shared" si="8"/>
        <v>0</v>
      </c>
    </row>
    <row r="46" spans="2:9">
      <c r="B46">
        <f t="shared" si="6"/>
        <v>27</v>
      </c>
      <c r="C46" s="70">
        <f t="shared" si="1"/>
        <v>57048.552695573999</v>
      </c>
      <c r="D46" s="70">
        <f t="shared" si="2"/>
        <v>12067.137200208881</v>
      </c>
      <c r="E46" s="70">
        <f t="shared" si="3"/>
        <v>69115.689895782882</v>
      </c>
      <c r="F46" s="70">
        <f t="shared" si="4"/>
        <v>817381.6792036203</v>
      </c>
      <c r="G46" s="75">
        <f t="shared" si="8"/>
        <v>0</v>
      </c>
      <c r="H46" s="75">
        <f t="shared" si="8"/>
        <v>0</v>
      </c>
      <c r="I46" s="75">
        <f t="shared" si="8"/>
        <v>0</v>
      </c>
    </row>
    <row r="47" spans="2:9">
      <c r="B47">
        <f t="shared" si="6"/>
        <v>28</v>
      </c>
      <c r="C47" s="70">
        <f t="shared" si="1"/>
        <v>57835.822722772922</v>
      </c>
      <c r="D47" s="70">
        <f t="shared" si="2"/>
        <v>11279.86717300996</v>
      </c>
      <c r="E47" s="70">
        <f t="shared" si="3"/>
        <v>69115.689895782882</v>
      </c>
      <c r="F47" s="70">
        <f t="shared" si="4"/>
        <v>759545.85648084735</v>
      </c>
      <c r="G47" s="75">
        <f t="shared" si="8"/>
        <v>14.427106639211383</v>
      </c>
      <c r="H47" s="75">
        <f t="shared" si="8"/>
        <v>3.1698034767759573</v>
      </c>
      <c r="I47" s="75">
        <f t="shared" si="8"/>
        <v>17.596910115987338</v>
      </c>
    </row>
    <row r="48" spans="2:9">
      <c r="B48">
        <f t="shared" si="6"/>
        <v>29</v>
      </c>
      <c r="C48" s="70">
        <f t="shared" si="1"/>
        <v>58633.957076347186</v>
      </c>
      <c r="D48" s="70">
        <f t="shared" si="2"/>
        <v>10481.732819435692</v>
      </c>
      <c r="E48" s="70">
        <f t="shared" si="3"/>
        <v>69115.689895782882</v>
      </c>
      <c r="F48" s="70">
        <f t="shared" si="4"/>
        <v>700911.89940450015</v>
      </c>
      <c r="G48" s="75">
        <f t="shared" si="8"/>
        <v>0</v>
      </c>
      <c r="H48" s="75">
        <f t="shared" si="8"/>
        <v>0</v>
      </c>
      <c r="I48" s="75">
        <f t="shared" si="8"/>
        <v>0</v>
      </c>
    </row>
    <row r="49" spans="2:15">
      <c r="B49">
        <f t="shared" si="6"/>
        <v>30</v>
      </c>
      <c r="C49" s="70">
        <f t="shared" si="1"/>
        <v>59443.10568400078</v>
      </c>
      <c r="D49" s="70">
        <f t="shared" si="2"/>
        <v>9672.5842117821012</v>
      </c>
      <c r="E49" s="70">
        <f t="shared" si="3"/>
        <v>69115.689895782882</v>
      </c>
      <c r="F49" s="70">
        <f t="shared" si="4"/>
        <v>641468.79372049938</v>
      </c>
      <c r="G49" s="75">
        <f t="shared" si="8"/>
        <v>0</v>
      </c>
      <c r="H49" s="75">
        <f t="shared" si="8"/>
        <v>0</v>
      </c>
      <c r="I49" s="75">
        <f t="shared" si="8"/>
        <v>0</v>
      </c>
    </row>
    <row r="50" spans="2:15">
      <c r="B50">
        <f t="shared" si="6"/>
        <v>31</v>
      </c>
      <c r="C50" s="70">
        <f t="shared" si="1"/>
        <v>60263.420542439992</v>
      </c>
      <c r="D50" s="70">
        <f t="shared" si="2"/>
        <v>8852.2693533428919</v>
      </c>
      <c r="E50" s="70">
        <f t="shared" si="3"/>
        <v>69115.689895782882</v>
      </c>
      <c r="F50" s="70">
        <f t="shared" si="4"/>
        <v>581205.37317805935</v>
      </c>
      <c r="G50" s="75">
        <f t="shared" si="8"/>
        <v>0</v>
      </c>
      <c r="H50" s="75">
        <f t="shared" si="8"/>
        <v>0</v>
      </c>
      <c r="I50" s="75">
        <f t="shared" si="8"/>
        <v>0</v>
      </c>
    </row>
    <row r="51" spans="2:15">
      <c r="B51">
        <f t="shared" si="6"/>
        <v>32</v>
      </c>
      <c r="C51" s="70">
        <f t="shared" si="1"/>
        <v>61095.05574592566</v>
      </c>
      <c r="D51" s="70">
        <f t="shared" si="2"/>
        <v>8020.6341498572192</v>
      </c>
      <c r="E51" s="70">
        <f t="shared" si="3"/>
        <v>69115.689895782882</v>
      </c>
      <c r="F51" s="70">
        <f t="shared" si="4"/>
        <v>520110.31743213371</v>
      </c>
      <c r="G51" s="75">
        <f t="shared" si="8"/>
        <v>15.240120099959634</v>
      </c>
      <c r="H51" s="75">
        <f t="shared" si="8"/>
        <v>2.3567900160277069</v>
      </c>
      <c r="I51" s="75">
        <f t="shared" si="8"/>
        <v>17.596910115987338</v>
      </c>
    </row>
    <row r="52" spans="2:15">
      <c r="B52">
        <f t="shared" si="6"/>
        <v>33</v>
      </c>
      <c r="C52" s="70">
        <f t="shared" si="1"/>
        <v>61938.167515219437</v>
      </c>
      <c r="D52" s="70">
        <f t="shared" si="2"/>
        <v>7177.522380563445</v>
      </c>
      <c r="E52" s="70">
        <f t="shared" si="3"/>
        <v>69115.689895782882</v>
      </c>
      <c r="F52" s="70">
        <f t="shared" si="4"/>
        <v>458172.14991691429</v>
      </c>
      <c r="G52" s="75">
        <f t="shared" si="8"/>
        <v>0</v>
      </c>
      <c r="H52" s="75">
        <f t="shared" si="8"/>
        <v>0</v>
      </c>
      <c r="I52" s="75">
        <f t="shared" si="8"/>
        <v>0</v>
      </c>
    </row>
    <row r="53" spans="2:15">
      <c r="B53">
        <f t="shared" si="6"/>
        <v>34</v>
      </c>
      <c r="C53" s="70">
        <f t="shared" si="1"/>
        <v>62792.914226929468</v>
      </c>
      <c r="D53" s="70">
        <f t="shared" si="2"/>
        <v>6322.7756688534173</v>
      </c>
      <c r="E53" s="70">
        <f t="shared" si="3"/>
        <v>69115.689895782882</v>
      </c>
      <c r="F53" s="70">
        <f t="shared" si="4"/>
        <v>395379.23568998481</v>
      </c>
      <c r="G53" s="75">
        <f t="shared" si="8"/>
        <v>0</v>
      </c>
      <c r="H53" s="75">
        <f t="shared" si="8"/>
        <v>0</v>
      </c>
      <c r="I53" s="75">
        <f t="shared" si="8"/>
        <v>0</v>
      </c>
    </row>
    <row r="54" spans="2:15">
      <c r="B54">
        <f t="shared" si="6"/>
        <v>35</v>
      </c>
      <c r="C54" s="70">
        <f t="shared" si="1"/>
        <v>63659.456443261093</v>
      </c>
      <c r="D54" s="70">
        <f t="shared" si="2"/>
        <v>5456.2334525217902</v>
      </c>
      <c r="E54" s="70">
        <f t="shared" si="3"/>
        <v>69115.689895782882</v>
      </c>
      <c r="F54" s="70">
        <f t="shared" si="4"/>
        <v>331719.77924672375</v>
      </c>
      <c r="G54" s="75">
        <f t="shared" si="8"/>
        <v>0</v>
      </c>
      <c r="H54" s="75">
        <f t="shared" si="8"/>
        <v>0</v>
      </c>
      <c r="I54" s="75">
        <f t="shared" si="8"/>
        <v>0</v>
      </c>
    </row>
    <row r="55" spans="2:15">
      <c r="B55">
        <f t="shared" si="6"/>
        <v>36</v>
      </c>
      <c r="C55" s="70">
        <f t="shared" si="1"/>
        <v>64537.956942178091</v>
      </c>
      <c r="D55" s="70">
        <f t="shared" si="2"/>
        <v>4577.7329536047873</v>
      </c>
      <c r="E55" s="70">
        <f t="shared" si="3"/>
        <v>69115.689895782882</v>
      </c>
      <c r="F55" s="70">
        <f t="shared" si="4"/>
        <v>267181.82230454567</v>
      </c>
      <c r="G55" s="75">
        <f t="shared" si="8"/>
        <v>16.098949461559503</v>
      </c>
      <c r="H55" s="75">
        <f t="shared" si="8"/>
        <v>1.4979606544278377</v>
      </c>
      <c r="I55" s="75">
        <f t="shared" si="8"/>
        <v>17.596910115987338</v>
      </c>
    </row>
    <row r="56" spans="2:15">
      <c r="B56">
        <f t="shared" si="6"/>
        <v>37</v>
      </c>
      <c r="C56" s="70">
        <f t="shared" si="1"/>
        <v>65428.580747980152</v>
      </c>
      <c r="D56" s="70">
        <f t="shared" si="2"/>
        <v>3687.1091478027301</v>
      </c>
      <c r="E56" s="70">
        <f t="shared" si="3"/>
        <v>69115.689895782882</v>
      </c>
      <c r="F56" s="70">
        <f t="shared" si="4"/>
        <v>201753.24155656551</v>
      </c>
      <c r="G56" s="75">
        <f t="shared" ref="G56:I59" si="9">IF(MOD($B56,4)=0,SUM(C53:C56),0)/$F$6*$F$15</f>
        <v>0</v>
      </c>
      <c r="H56" s="75">
        <f t="shared" si="9"/>
        <v>0</v>
      </c>
      <c r="I56" s="75">
        <f t="shared" si="9"/>
        <v>0</v>
      </c>
    </row>
    <row r="57" spans="2:15">
      <c r="B57">
        <f t="shared" si="6"/>
        <v>38</v>
      </c>
      <c r="C57" s="70">
        <f t="shared" si="1"/>
        <v>66331.495162302279</v>
      </c>
      <c r="D57" s="70">
        <f t="shared" si="2"/>
        <v>2784.1947334806041</v>
      </c>
      <c r="E57" s="70">
        <f t="shared" si="3"/>
        <v>69115.689895782882</v>
      </c>
      <c r="F57" s="70">
        <f t="shared" si="4"/>
        <v>135421.74639426323</v>
      </c>
      <c r="G57" s="75">
        <f t="shared" si="9"/>
        <v>0</v>
      </c>
      <c r="H57" s="75">
        <f t="shared" si="9"/>
        <v>0</v>
      </c>
      <c r="I57" s="75">
        <f t="shared" si="9"/>
        <v>0</v>
      </c>
    </row>
    <row r="58" spans="2:15">
      <c r="B58">
        <f t="shared" si="6"/>
        <v>39</v>
      </c>
      <c r="C58" s="70">
        <f t="shared" si="1"/>
        <v>67246.86979554205</v>
      </c>
      <c r="D58" s="70">
        <f t="shared" si="2"/>
        <v>1868.8201002408325</v>
      </c>
      <c r="E58" s="70">
        <f t="shared" si="3"/>
        <v>69115.689895782882</v>
      </c>
      <c r="F58" s="70">
        <f t="shared" si="4"/>
        <v>68174.876598721181</v>
      </c>
      <c r="G58" s="75">
        <f t="shared" si="9"/>
        <v>0</v>
      </c>
      <c r="H58" s="75">
        <f t="shared" si="9"/>
        <v>0</v>
      </c>
      <c r="I58" s="75">
        <f t="shared" si="9"/>
        <v>0</v>
      </c>
    </row>
    <row r="59" spans="2:15">
      <c r="B59">
        <f t="shared" si="6"/>
        <v>40</v>
      </c>
      <c r="C59" s="70">
        <f t="shared" si="1"/>
        <v>68174.876598720526</v>
      </c>
      <c r="D59" s="70">
        <f t="shared" si="2"/>
        <v>940.81329706235226</v>
      </c>
      <c r="E59" s="70">
        <f t="shared" si="3"/>
        <v>69115.689895782882</v>
      </c>
      <c r="F59" s="70">
        <f t="shared" si="4"/>
        <v>6.5483618527650833E-10</v>
      </c>
      <c r="G59" s="75">
        <f t="shared" si="9"/>
        <v>17.006176596110514</v>
      </c>
      <c r="H59" s="75">
        <f t="shared" si="9"/>
        <v>0.59073351987682288</v>
      </c>
      <c r="I59" s="75">
        <f t="shared" si="9"/>
        <v>17.596910115987338</v>
      </c>
    </row>
    <row r="61" spans="2:15">
      <c r="B61" t="s">
        <v>31</v>
      </c>
      <c r="J61" t="s">
        <v>32</v>
      </c>
    </row>
    <row r="62" spans="2:15">
      <c r="B62" s="66" t="s">
        <v>10</v>
      </c>
      <c r="C62" s="66" t="s">
        <v>5</v>
      </c>
      <c r="D62" s="66" t="s">
        <v>13</v>
      </c>
      <c r="E62" s="66"/>
      <c r="F62" s="66"/>
      <c r="G62" s="66" t="s">
        <v>14</v>
      </c>
      <c r="H62" s="66" t="s">
        <v>15</v>
      </c>
      <c r="J62" s="66" t="s">
        <v>10</v>
      </c>
      <c r="K62" s="66" t="s">
        <v>5</v>
      </c>
      <c r="L62" s="66" t="s">
        <v>13</v>
      </c>
      <c r="M62" s="66"/>
      <c r="N62" s="66" t="s">
        <v>14</v>
      </c>
      <c r="O62" s="66" t="s">
        <v>15</v>
      </c>
    </row>
    <row r="63" spans="2:15">
      <c r="B63" s="66"/>
      <c r="C63" s="66"/>
      <c r="D63" s="66" t="s">
        <v>7</v>
      </c>
      <c r="E63" s="66" t="s">
        <v>8</v>
      </c>
      <c r="F63" s="66" t="s">
        <v>9</v>
      </c>
      <c r="G63" s="66"/>
      <c r="H63" s="66"/>
      <c r="J63" s="66"/>
      <c r="K63" s="66"/>
      <c r="L63" s="66" t="s">
        <v>18</v>
      </c>
      <c r="M63" s="66" t="s">
        <v>8</v>
      </c>
      <c r="N63" s="66"/>
      <c r="O63" s="66"/>
    </row>
    <row r="64" spans="2:15">
      <c r="B64" s="66"/>
      <c r="C64" s="66"/>
      <c r="D64" s="66"/>
      <c r="E64" s="66"/>
      <c r="F64" s="66"/>
      <c r="G64" s="66"/>
      <c r="H64" s="66"/>
      <c r="J64" s="66"/>
      <c r="K64" s="66"/>
      <c r="L64" s="66"/>
      <c r="M64" s="66"/>
      <c r="N64" s="66"/>
      <c r="O64" s="66"/>
    </row>
    <row r="65" spans="2:15">
      <c r="B65">
        <v>1</v>
      </c>
      <c r="C65" s="68">
        <f t="shared" ref="C65:C89" si="10">$F$3/$F$6*$F$15</f>
        <v>3.98400745185831</v>
      </c>
      <c r="D65" s="68">
        <f t="shared" ref="D65:D89" si="11">IF(B65&lt;=10, VLOOKUP($B65*4,$B$18:$I$59,6),0)</f>
        <v>10.383035924305359</v>
      </c>
      <c r="E65" s="68">
        <f t="shared" ref="E65:E89" si="12">IF(B65&lt;=10, VLOOKUP($B65*4,$B$18:$I$59,7),0)</f>
        <v>7.2138741916819802</v>
      </c>
      <c r="F65" s="68">
        <f>-(PMT($C$14,$B$89,$F$13)*$F$15/$F$6)/0.925</f>
        <v>10.464383965138062</v>
      </c>
      <c r="G65" s="68">
        <f>SUM(C65:F65)</f>
        <v>32.045301532983714</v>
      </c>
      <c r="H65" s="68">
        <f t="shared" ref="H65:H89" si="13">G65/$F$15*100</f>
        <v>34.8318494923736</v>
      </c>
      <c r="J65">
        <v>1</v>
      </c>
      <c r="K65" s="68">
        <f t="shared" ref="K65:K89" si="14">C65</f>
        <v>3.98400745185831</v>
      </c>
      <c r="L65" s="68">
        <f t="shared" ref="L65:L89" si="15">D65+F65</f>
        <v>20.847419889443422</v>
      </c>
      <c r="M65" s="68">
        <f t="shared" ref="M65:M89" si="16">E65</f>
        <v>7.2138741916819802</v>
      </c>
      <c r="N65" s="68">
        <f>SUM(K65:M65)</f>
        <v>32.045301532983714</v>
      </c>
      <c r="O65" s="68">
        <f t="shared" ref="O65:O89" si="17">N65/$F$15*100</f>
        <v>34.8318494923736</v>
      </c>
    </row>
    <row r="66" spans="2:15">
      <c r="B66">
        <f>B65+1</f>
        <v>2</v>
      </c>
      <c r="C66" s="68">
        <f t="shared" si="10"/>
        <v>3.98400745185831</v>
      </c>
      <c r="D66" s="68">
        <f t="shared" si="11"/>
        <v>10.968153105525165</v>
      </c>
      <c r="E66" s="68">
        <f t="shared" si="12"/>
        <v>6.6287570104621745</v>
      </c>
      <c r="F66" s="68">
        <f t="shared" ref="F66:F89" si="18">-(PMT($C$14,$B$89,$F$13)*$F$15/$F$6)/0.925</f>
        <v>10.464383965138062</v>
      </c>
      <c r="G66" s="68">
        <f t="shared" ref="G66:G89" si="19">SUM(C66:F66)</f>
        <v>32.045301532983714</v>
      </c>
      <c r="H66" s="68">
        <f t="shared" si="13"/>
        <v>34.8318494923736</v>
      </c>
      <c r="J66">
        <f>J65+1</f>
        <v>2</v>
      </c>
      <c r="K66" s="68">
        <f t="shared" si="14"/>
        <v>3.98400745185831</v>
      </c>
      <c r="L66" s="68">
        <f t="shared" si="15"/>
        <v>21.432537070663226</v>
      </c>
      <c r="M66" s="68">
        <f t="shared" si="16"/>
        <v>6.6287570104621745</v>
      </c>
      <c r="N66" s="68">
        <f t="shared" ref="N66:N89" si="20">SUM(K66:M66)</f>
        <v>32.045301532983714</v>
      </c>
      <c r="O66" s="68">
        <f t="shared" si="17"/>
        <v>34.8318494923736</v>
      </c>
    </row>
    <row r="67" spans="2:15">
      <c r="B67">
        <f t="shared" ref="B67:B89" si="21">B66+1</f>
        <v>3</v>
      </c>
      <c r="C67" s="68">
        <f t="shared" si="10"/>
        <v>3.98400745185831</v>
      </c>
      <c r="D67" s="68">
        <f t="shared" si="11"/>
        <v>11.586243505585248</v>
      </c>
      <c r="E67" s="68">
        <f t="shared" si="12"/>
        <v>6.0106666104020903</v>
      </c>
      <c r="F67" s="68">
        <f t="shared" si="18"/>
        <v>10.464383965138062</v>
      </c>
      <c r="G67" s="68">
        <f t="shared" si="19"/>
        <v>32.045301532983714</v>
      </c>
      <c r="H67" s="68">
        <f t="shared" si="13"/>
        <v>34.8318494923736</v>
      </c>
      <c r="J67">
        <f t="shared" ref="J67:J88" si="22">J66+1</f>
        <v>3</v>
      </c>
      <c r="K67" s="68">
        <f t="shared" si="14"/>
        <v>3.98400745185831</v>
      </c>
      <c r="L67" s="68">
        <f t="shared" si="15"/>
        <v>22.05062747072331</v>
      </c>
      <c r="M67" s="68">
        <f t="shared" si="16"/>
        <v>6.0106666104020903</v>
      </c>
      <c r="N67" s="68">
        <f t="shared" si="20"/>
        <v>32.045301532983714</v>
      </c>
      <c r="O67" s="68">
        <f t="shared" si="17"/>
        <v>34.8318494923736</v>
      </c>
    </row>
    <row r="68" spans="2:15">
      <c r="B68">
        <f t="shared" si="21"/>
        <v>4</v>
      </c>
      <c r="C68" s="68">
        <f t="shared" si="10"/>
        <v>3.98400745185831</v>
      </c>
      <c r="D68" s="68">
        <f t="shared" si="11"/>
        <v>12.239165270504198</v>
      </c>
      <c r="E68" s="68">
        <f t="shared" si="12"/>
        <v>5.3577448454831389</v>
      </c>
      <c r="F68" s="68">
        <f t="shared" si="18"/>
        <v>10.464383965138062</v>
      </c>
      <c r="G68" s="68">
        <f t="shared" si="19"/>
        <v>32.045301532983714</v>
      </c>
      <c r="H68" s="68">
        <f t="shared" si="13"/>
        <v>34.8318494923736</v>
      </c>
      <c r="J68">
        <f t="shared" si="22"/>
        <v>4</v>
      </c>
      <c r="K68" s="68">
        <f t="shared" si="14"/>
        <v>3.98400745185831</v>
      </c>
      <c r="L68" s="68">
        <f t="shared" si="15"/>
        <v>22.70354923564226</v>
      </c>
      <c r="M68" s="68">
        <f t="shared" si="16"/>
        <v>5.3577448454831389</v>
      </c>
      <c r="N68" s="68">
        <f t="shared" si="20"/>
        <v>32.045301532983707</v>
      </c>
      <c r="O68" s="68">
        <f t="shared" si="17"/>
        <v>34.831849492373593</v>
      </c>
    </row>
    <row r="69" spans="2:15">
      <c r="B69">
        <f t="shared" si="21"/>
        <v>5</v>
      </c>
      <c r="C69" s="68">
        <f t="shared" si="10"/>
        <v>3.98400745185831</v>
      </c>
      <c r="D69" s="68">
        <f t="shared" si="11"/>
        <v>12.928881258753549</v>
      </c>
      <c r="E69" s="68">
        <f t="shared" si="12"/>
        <v>4.6680288572337911</v>
      </c>
      <c r="F69" s="68">
        <f t="shared" si="18"/>
        <v>10.464383965138062</v>
      </c>
      <c r="G69" s="68">
        <f t="shared" si="19"/>
        <v>32.045301532983714</v>
      </c>
      <c r="H69" s="68">
        <f t="shared" si="13"/>
        <v>34.8318494923736</v>
      </c>
      <c r="J69">
        <f t="shared" si="22"/>
        <v>5</v>
      </c>
      <c r="K69" s="68">
        <f t="shared" si="14"/>
        <v>3.98400745185831</v>
      </c>
      <c r="L69" s="68">
        <f t="shared" si="15"/>
        <v>23.393265223891611</v>
      </c>
      <c r="M69" s="68">
        <f t="shared" si="16"/>
        <v>4.6680288572337911</v>
      </c>
      <c r="N69" s="68">
        <f t="shared" si="20"/>
        <v>32.045301532983714</v>
      </c>
      <c r="O69" s="68">
        <f t="shared" si="17"/>
        <v>34.8318494923736</v>
      </c>
    </row>
    <row r="70" spans="2:15">
      <c r="B70">
        <f t="shared" si="21"/>
        <v>6</v>
      </c>
      <c r="C70" s="68">
        <f t="shared" si="10"/>
        <v>3.98400745185831</v>
      </c>
      <c r="D70" s="68">
        <f t="shared" si="11"/>
        <v>13.657464942138382</v>
      </c>
      <c r="E70" s="68">
        <f t="shared" si="12"/>
        <v>3.9394451738489584</v>
      </c>
      <c r="F70" s="68">
        <f t="shared" si="18"/>
        <v>10.464383965138062</v>
      </c>
      <c r="G70" s="68">
        <f t="shared" si="19"/>
        <v>32.045301532983714</v>
      </c>
      <c r="H70" s="68">
        <f t="shared" si="13"/>
        <v>34.8318494923736</v>
      </c>
      <c r="J70">
        <f t="shared" si="22"/>
        <v>6</v>
      </c>
      <c r="K70" s="68">
        <f t="shared" si="14"/>
        <v>3.98400745185831</v>
      </c>
      <c r="L70" s="68">
        <f t="shared" si="15"/>
        <v>24.121848907276444</v>
      </c>
      <c r="M70" s="68">
        <f t="shared" si="16"/>
        <v>3.9394451738489584</v>
      </c>
      <c r="N70" s="68">
        <f t="shared" si="20"/>
        <v>32.045301532983714</v>
      </c>
      <c r="O70" s="68">
        <f t="shared" si="17"/>
        <v>34.8318494923736</v>
      </c>
    </row>
    <row r="71" spans="2:15">
      <c r="B71">
        <f t="shared" si="21"/>
        <v>7</v>
      </c>
      <c r="C71" s="68">
        <f t="shared" si="10"/>
        <v>3.98400745185831</v>
      </c>
      <c r="D71" s="68">
        <f t="shared" si="11"/>
        <v>14.427106639211383</v>
      </c>
      <c r="E71" s="68">
        <f t="shared" si="12"/>
        <v>3.1698034767759573</v>
      </c>
      <c r="F71" s="68">
        <f t="shared" si="18"/>
        <v>10.464383965138062</v>
      </c>
      <c r="G71" s="68">
        <f t="shared" si="19"/>
        <v>32.045301532983714</v>
      </c>
      <c r="H71" s="68">
        <f t="shared" si="13"/>
        <v>34.8318494923736</v>
      </c>
      <c r="J71">
        <f t="shared" si="22"/>
        <v>7</v>
      </c>
      <c r="K71" s="68">
        <f t="shared" si="14"/>
        <v>3.98400745185831</v>
      </c>
      <c r="L71" s="68">
        <f t="shared" si="15"/>
        <v>24.891490604349443</v>
      </c>
      <c r="M71" s="68">
        <f t="shared" si="16"/>
        <v>3.1698034767759573</v>
      </c>
      <c r="N71" s="68">
        <f t="shared" si="20"/>
        <v>32.045301532983714</v>
      </c>
      <c r="O71" s="68">
        <f t="shared" si="17"/>
        <v>34.8318494923736</v>
      </c>
    </row>
    <row r="72" spans="2:15">
      <c r="B72">
        <f t="shared" si="21"/>
        <v>8</v>
      </c>
      <c r="C72" s="68">
        <f t="shared" si="10"/>
        <v>3.98400745185831</v>
      </c>
      <c r="D72" s="68">
        <f t="shared" si="11"/>
        <v>15.240120099959634</v>
      </c>
      <c r="E72" s="68">
        <f t="shared" si="12"/>
        <v>2.3567900160277069</v>
      </c>
      <c r="F72" s="68">
        <f t="shared" si="18"/>
        <v>10.464383965138062</v>
      </c>
      <c r="G72" s="68">
        <f t="shared" si="19"/>
        <v>32.045301532983714</v>
      </c>
      <c r="H72" s="68">
        <f t="shared" si="13"/>
        <v>34.8318494923736</v>
      </c>
      <c r="J72">
        <f t="shared" si="22"/>
        <v>8</v>
      </c>
      <c r="K72" s="68">
        <f t="shared" si="14"/>
        <v>3.98400745185831</v>
      </c>
      <c r="L72" s="68">
        <f t="shared" si="15"/>
        <v>25.704504065097694</v>
      </c>
      <c r="M72" s="68">
        <f t="shared" si="16"/>
        <v>2.3567900160277069</v>
      </c>
      <c r="N72" s="68">
        <f t="shared" si="20"/>
        <v>32.045301532983714</v>
      </c>
      <c r="O72" s="68">
        <f t="shared" si="17"/>
        <v>34.8318494923736</v>
      </c>
    </row>
    <row r="73" spans="2:15">
      <c r="B73">
        <f t="shared" si="21"/>
        <v>9</v>
      </c>
      <c r="C73" s="68">
        <f t="shared" si="10"/>
        <v>3.98400745185831</v>
      </c>
      <c r="D73" s="68">
        <f t="shared" si="11"/>
        <v>16.098949461559503</v>
      </c>
      <c r="E73" s="68">
        <f t="shared" si="12"/>
        <v>1.4979606544278377</v>
      </c>
      <c r="F73" s="68">
        <f t="shared" si="18"/>
        <v>10.464383965138062</v>
      </c>
      <c r="G73" s="68">
        <f t="shared" si="19"/>
        <v>32.045301532983714</v>
      </c>
      <c r="H73" s="68">
        <f t="shared" si="13"/>
        <v>34.8318494923736</v>
      </c>
      <c r="J73">
        <f t="shared" si="22"/>
        <v>9</v>
      </c>
      <c r="K73" s="68">
        <f t="shared" si="14"/>
        <v>3.98400745185831</v>
      </c>
      <c r="L73" s="68">
        <f t="shared" si="15"/>
        <v>26.563333426697564</v>
      </c>
      <c r="M73" s="68">
        <f t="shared" si="16"/>
        <v>1.4979606544278377</v>
      </c>
      <c r="N73" s="68">
        <f t="shared" si="20"/>
        <v>32.045301532983714</v>
      </c>
      <c r="O73" s="68">
        <f t="shared" si="17"/>
        <v>34.8318494923736</v>
      </c>
    </row>
    <row r="74" spans="2:15">
      <c r="B74">
        <f t="shared" si="21"/>
        <v>10</v>
      </c>
      <c r="C74" s="68">
        <f t="shared" si="10"/>
        <v>3.98400745185831</v>
      </c>
      <c r="D74" s="68">
        <f t="shared" si="11"/>
        <v>17.006176596110514</v>
      </c>
      <c r="E74" s="68">
        <f t="shared" si="12"/>
        <v>0.59073351987682288</v>
      </c>
      <c r="F74" s="68">
        <f t="shared" si="18"/>
        <v>10.464383965138062</v>
      </c>
      <c r="G74" s="68">
        <f t="shared" si="19"/>
        <v>32.045301532983714</v>
      </c>
      <c r="H74" s="68">
        <f t="shared" si="13"/>
        <v>34.8318494923736</v>
      </c>
      <c r="J74">
        <f t="shared" si="22"/>
        <v>10</v>
      </c>
      <c r="K74" s="68">
        <f t="shared" si="14"/>
        <v>3.98400745185831</v>
      </c>
      <c r="L74" s="68">
        <f t="shared" si="15"/>
        <v>27.470560561248575</v>
      </c>
      <c r="M74" s="68">
        <f t="shared" si="16"/>
        <v>0.59073351987682288</v>
      </c>
      <c r="N74" s="68">
        <f t="shared" si="20"/>
        <v>32.045301532983707</v>
      </c>
      <c r="O74" s="68">
        <f t="shared" si="17"/>
        <v>34.831849492373593</v>
      </c>
    </row>
    <row r="75" spans="2:15">
      <c r="B75">
        <f t="shared" si="21"/>
        <v>11</v>
      </c>
      <c r="C75" s="68">
        <f t="shared" si="10"/>
        <v>3.98400745185831</v>
      </c>
      <c r="D75" s="68">
        <f t="shared" si="11"/>
        <v>0</v>
      </c>
      <c r="E75" s="68">
        <f t="shared" si="12"/>
        <v>0</v>
      </c>
      <c r="F75" s="68">
        <f t="shared" si="18"/>
        <v>10.464383965138062</v>
      </c>
      <c r="G75" s="68">
        <f t="shared" si="19"/>
        <v>14.448391416996373</v>
      </c>
      <c r="H75" s="68">
        <f t="shared" si="13"/>
        <v>15.704773279343884</v>
      </c>
      <c r="J75">
        <f t="shared" si="22"/>
        <v>11</v>
      </c>
      <c r="K75" s="68">
        <f t="shared" si="14"/>
        <v>3.98400745185831</v>
      </c>
      <c r="L75" s="68">
        <f t="shared" si="15"/>
        <v>10.464383965138062</v>
      </c>
      <c r="M75" s="68">
        <f t="shared" si="16"/>
        <v>0</v>
      </c>
      <c r="N75" s="68">
        <f t="shared" si="20"/>
        <v>14.448391416996373</v>
      </c>
      <c r="O75" s="68">
        <f t="shared" si="17"/>
        <v>15.704773279343884</v>
      </c>
    </row>
    <row r="76" spans="2:15">
      <c r="B76">
        <f t="shared" si="21"/>
        <v>12</v>
      </c>
      <c r="C76" s="68">
        <f t="shared" si="10"/>
        <v>3.98400745185831</v>
      </c>
      <c r="D76" s="68">
        <f t="shared" si="11"/>
        <v>0</v>
      </c>
      <c r="E76" s="68">
        <f t="shared" si="12"/>
        <v>0</v>
      </c>
      <c r="F76" s="68">
        <f t="shared" si="18"/>
        <v>10.464383965138062</v>
      </c>
      <c r="G76" s="68">
        <f t="shared" si="19"/>
        <v>14.448391416996373</v>
      </c>
      <c r="H76" s="68">
        <f t="shared" si="13"/>
        <v>15.704773279343884</v>
      </c>
      <c r="J76">
        <f t="shared" si="22"/>
        <v>12</v>
      </c>
      <c r="K76" s="68">
        <f t="shared" si="14"/>
        <v>3.98400745185831</v>
      </c>
      <c r="L76" s="68">
        <f t="shared" si="15"/>
        <v>10.464383965138062</v>
      </c>
      <c r="M76" s="68">
        <f t="shared" si="16"/>
        <v>0</v>
      </c>
      <c r="N76" s="68">
        <f t="shared" si="20"/>
        <v>14.448391416996373</v>
      </c>
      <c r="O76" s="68">
        <f t="shared" si="17"/>
        <v>15.704773279343884</v>
      </c>
    </row>
    <row r="77" spans="2:15">
      <c r="B77">
        <f t="shared" si="21"/>
        <v>13</v>
      </c>
      <c r="C77" s="68">
        <f t="shared" si="10"/>
        <v>3.98400745185831</v>
      </c>
      <c r="D77" s="68">
        <f t="shared" si="11"/>
        <v>0</v>
      </c>
      <c r="E77" s="68">
        <f t="shared" si="12"/>
        <v>0</v>
      </c>
      <c r="F77" s="68">
        <f t="shared" si="18"/>
        <v>10.464383965138062</v>
      </c>
      <c r="G77" s="68">
        <f t="shared" si="19"/>
        <v>14.448391416996373</v>
      </c>
      <c r="H77" s="68">
        <f t="shared" si="13"/>
        <v>15.704773279343884</v>
      </c>
      <c r="J77">
        <f t="shared" si="22"/>
        <v>13</v>
      </c>
      <c r="K77" s="68">
        <f t="shared" si="14"/>
        <v>3.98400745185831</v>
      </c>
      <c r="L77" s="68">
        <f t="shared" si="15"/>
        <v>10.464383965138062</v>
      </c>
      <c r="M77" s="68">
        <f t="shared" si="16"/>
        <v>0</v>
      </c>
      <c r="N77" s="68">
        <f t="shared" si="20"/>
        <v>14.448391416996373</v>
      </c>
      <c r="O77" s="68">
        <f t="shared" si="17"/>
        <v>15.704773279343884</v>
      </c>
    </row>
    <row r="78" spans="2:15">
      <c r="B78">
        <f t="shared" si="21"/>
        <v>14</v>
      </c>
      <c r="C78" s="68">
        <f t="shared" si="10"/>
        <v>3.98400745185831</v>
      </c>
      <c r="D78" s="68">
        <f t="shared" si="11"/>
        <v>0</v>
      </c>
      <c r="E78" s="68">
        <f t="shared" si="12"/>
        <v>0</v>
      </c>
      <c r="F78" s="68">
        <f t="shared" si="18"/>
        <v>10.464383965138062</v>
      </c>
      <c r="G78" s="68">
        <f t="shared" si="19"/>
        <v>14.448391416996373</v>
      </c>
      <c r="H78" s="68">
        <f t="shared" si="13"/>
        <v>15.704773279343884</v>
      </c>
      <c r="J78">
        <f t="shared" si="22"/>
        <v>14</v>
      </c>
      <c r="K78" s="68">
        <f t="shared" si="14"/>
        <v>3.98400745185831</v>
      </c>
      <c r="L78" s="68">
        <f t="shared" si="15"/>
        <v>10.464383965138062</v>
      </c>
      <c r="M78" s="68">
        <f t="shared" si="16"/>
        <v>0</v>
      </c>
      <c r="N78" s="68">
        <f t="shared" si="20"/>
        <v>14.448391416996373</v>
      </c>
      <c r="O78" s="68">
        <f t="shared" si="17"/>
        <v>15.704773279343884</v>
      </c>
    </row>
    <row r="79" spans="2:15">
      <c r="B79">
        <f t="shared" si="21"/>
        <v>15</v>
      </c>
      <c r="C79" s="68">
        <f t="shared" si="10"/>
        <v>3.98400745185831</v>
      </c>
      <c r="D79" s="68">
        <f t="shared" si="11"/>
        <v>0</v>
      </c>
      <c r="E79" s="68">
        <f t="shared" si="12"/>
        <v>0</v>
      </c>
      <c r="F79" s="68">
        <f t="shared" si="18"/>
        <v>10.464383965138062</v>
      </c>
      <c r="G79" s="68">
        <f t="shared" si="19"/>
        <v>14.448391416996373</v>
      </c>
      <c r="H79" s="68">
        <f t="shared" si="13"/>
        <v>15.704773279343884</v>
      </c>
      <c r="J79">
        <f t="shared" si="22"/>
        <v>15</v>
      </c>
      <c r="K79" s="68">
        <f t="shared" si="14"/>
        <v>3.98400745185831</v>
      </c>
      <c r="L79" s="68">
        <f t="shared" si="15"/>
        <v>10.464383965138062</v>
      </c>
      <c r="M79" s="68">
        <f t="shared" si="16"/>
        <v>0</v>
      </c>
      <c r="N79" s="68">
        <f t="shared" si="20"/>
        <v>14.448391416996373</v>
      </c>
      <c r="O79" s="68">
        <f t="shared" si="17"/>
        <v>15.704773279343884</v>
      </c>
    </row>
    <row r="80" spans="2:15">
      <c r="B80">
        <f t="shared" si="21"/>
        <v>16</v>
      </c>
      <c r="C80" s="68">
        <f t="shared" si="10"/>
        <v>3.98400745185831</v>
      </c>
      <c r="D80" s="68">
        <f t="shared" si="11"/>
        <v>0</v>
      </c>
      <c r="E80" s="68">
        <f t="shared" si="12"/>
        <v>0</v>
      </c>
      <c r="F80" s="68">
        <f t="shared" si="18"/>
        <v>10.464383965138062</v>
      </c>
      <c r="G80" s="68">
        <f t="shared" si="19"/>
        <v>14.448391416996373</v>
      </c>
      <c r="H80" s="68">
        <f t="shared" si="13"/>
        <v>15.704773279343884</v>
      </c>
      <c r="J80">
        <f t="shared" si="22"/>
        <v>16</v>
      </c>
      <c r="K80" s="68">
        <f t="shared" si="14"/>
        <v>3.98400745185831</v>
      </c>
      <c r="L80" s="68">
        <f t="shared" si="15"/>
        <v>10.464383965138062</v>
      </c>
      <c r="M80" s="68">
        <f t="shared" si="16"/>
        <v>0</v>
      </c>
      <c r="N80" s="68">
        <f t="shared" si="20"/>
        <v>14.448391416996373</v>
      </c>
      <c r="O80" s="68">
        <f t="shared" si="17"/>
        <v>15.704773279343884</v>
      </c>
    </row>
    <row r="81" spans="2:15">
      <c r="B81">
        <f t="shared" si="21"/>
        <v>17</v>
      </c>
      <c r="C81" s="68">
        <f t="shared" si="10"/>
        <v>3.98400745185831</v>
      </c>
      <c r="D81" s="68">
        <f t="shared" si="11"/>
        <v>0</v>
      </c>
      <c r="E81" s="68">
        <f t="shared" si="12"/>
        <v>0</v>
      </c>
      <c r="F81" s="68">
        <f t="shared" si="18"/>
        <v>10.464383965138062</v>
      </c>
      <c r="G81" s="68">
        <f t="shared" si="19"/>
        <v>14.448391416996373</v>
      </c>
      <c r="H81" s="68">
        <f t="shared" si="13"/>
        <v>15.704773279343884</v>
      </c>
      <c r="J81">
        <f t="shared" si="22"/>
        <v>17</v>
      </c>
      <c r="K81" s="68">
        <f t="shared" si="14"/>
        <v>3.98400745185831</v>
      </c>
      <c r="L81" s="68">
        <f t="shared" si="15"/>
        <v>10.464383965138062</v>
      </c>
      <c r="M81" s="68">
        <f t="shared" si="16"/>
        <v>0</v>
      </c>
      <c r="N81" s="68">
        <f t="shared" si="20"/>
        <v>14.448391416996373</v>
      </c>
      <c r="O81" s="68">
        <f t="shared" si="17"/>
        <v>15.704773279343884</v>
      </c>
    </row>
    <row r="82" spans="2:15">
      <c r="B82">
        <f t="shared" si="21"/>
        <v>18</v>
      </c>
      <c r="C82" s="68">
        <f t="shared" si="10"/>
        <v>3.98400745185831</v>
      </c>
      <c r="D82" s="68">
        <f t="shared" si="11"/>
        <v>0</v>
      </c>
      <c r="E82" s="68">
        <f t="shared" si="12"/>
        <v>0</v>
      </c>
      <c r="F82" s="68">
        <f t="shared" si="18"/>
        <v>10.464383965138062</v>
      </c>
      <c r="G82" s="68">
        <f t="shared" si="19"/>
        <v>14.448391416996373</v>
      </c>
      <c r="H82" s="68">
        <f t="shared" si="13"/>
        <v>15.704773279343884</v>
      </c>
      <c r="J82">
        <f t="shared" si="22"/>
        <v>18</v>
      </c>
      <c r="K82" s="68">
        <f t="shared" si="14"/>
        <v>3.98400745185831</v>
      </c>
      <c r="L82" s="68">
        <f t="shared" si="15"/>
        <v>10.464383965138062</v>
      </c>
      <c r="M82" s="68">
        <f t="shared" si="16"/>
        <v>0</v>
      </c>
      <c r="N82" s="68">
        <f t="shared" si="20"/>
        <v>14.448391416996373</v>
      </c>
      <c r="O82" s="68">
        <f t="shared" si="17"/>
        <v>15.704773279343884</v>
      </c>
    </row>
    <row r="83" spans="2:15">
      <c r="B83">
        <f t="shared" si="21"/>
        <v>19</v>
      </c>
      <c r="C83" s="68">
        <f t="shared" si="10"/>
        <v>3.98400745185831</v>
      </c>
      <c r="D83" s="68">
        <f t="shared" si="11"/>
        <v>0</v>
      </c>
      <c r="E83" s="68">
        <f t="shared" si="12"/>
        <v>0</v>
      </c>
      <c r="F83" s="68">
        <f t="shared" si="18"/>
        <v>10.464383965138062</v>
      </c>
      <c r="G83" s="68">
        <f t="shared" si="19"/>
        <v>14.448391416996373</v>
      </c>
      <c r="H83" s="68">
        <f t="shared" si="13"/>
        <v>15.704773279343884</v>
      </c>
      <c r="J83">
        <f t="shared" si="22"/>
        <v>19</v>
      </c>
      <c r="K83" s="68">
        <f t="shared" si="14"/>
        <v>3.98400745185831</v>
      </c>
      <c r="L83" s="68">
        <f t="shared" si="15"/>
        <v>10.464383965138062</v>
      </c>
      <c r="M83" s="68">
        <f t="shared" si="16"/>
        <v>0</v>
      </c>
      <c r="N83" s="68">
        <f t="shared" si="20"/>
        <v>14.448391416996373</v>
      </c>
      <c r="O83" s="68">
        <f t="shared" si="17"/>
        <v>15.704773279343884</v>
      </c>
    </row>
    <row r="84" spans="2:15">
      <c r="B84">
        <f t="shared" si="21"/>
        <v>20</v>
      </c>
      <c r="C84" s="68">
        <f t="shared" si="10"/>
        <v>3.98400745185831</v>
      </c>
      <c r="D84" s="68">
        <f t="shared" si="11"/>
        <v>0</v>
      </c>
      <c r="E84" s="68">
        <f t="shared" si="12"/>
        <v>0</v>
      </c>
      <c r="F84" s="68">
        <f t="shared" si="18"/>
        <v>10.464383965138062</v>
      </c>
      <c r="G84" s="68">
        <f t="shared" si="19"/>
        <v>14.448391416996373</v>
      </c>
      <c r="H84" s="68">
        <f t="shared" si="13"/>
        <v>15.704773279343884</v>
      </c>
      <c r="J84">
        <f t="shared" si="22"/>
        <v>20</v>
      </c>
      <c r="K84" s="68">
        <f t="shared" si="14"/>
        <v>3.98400745185831</v>
      </c>
      <c r="L84" s="68">
        <f t="shared" si="15"/>
        <v>10.464383965138062</v>
      </c>
      <c r="M84" s="68">
        <f t="shared" si="16"/>
        <v>0</v>
      </c>
      <c r="N84" s="68">
        <f t="shared" si="20"/>
        <v>14.448391416996373</v>
      </c>
      <c r="O84" s="68">
        <f t="shared" si="17"/>
        <v>15.704773279343884</v>
      </c>
    </row>
    <row r="85" spans="2:15">
      <c r="B85">
        <f t="shared" si="21"/>
        <v>21</v>
      </c>
      <c r="C85" s="68">
        <f t="shared" si="10"/>
        <v>3.98400745185831</v>
      </c>
      <c r="D85" s="68">
        <f t="shared" si="11"/>
        <v>0</v>
      </c>
      <c r="E85" s="68">
        <f t="shared" si="12"/>
        <v>0</v>
      </c>
      <c r="F85" s="68">
        <f t="shared" si="18"/>
        <v>10.464383965138062</v>
      </c>
      <c r="G85" s="68">
        <f t="shared" si="19"/>
        <v>14.448391416996373</v>
      </c>
      <c r="H85" s="68">
        <f t="shared" si="13"/>
        <v>15.704773279343884</v>
      </c>
      <c r="J85">
        <f t="shared" si="22"/>
        <v>21</v>
      </c>
      <c r="K85" s="68">
        <f t="shared" si="14"/>
        <v>3.98400745185831</v>
      </c>
      <c r="L85" s="68">
        <f t="shared" si="15"/>
        <v>10.464383965138062</v>
      </c>
      <c r="M85" s="68">
        <f t="shared" si="16"/>
        <v>0</v>
      </c>
      <c r="N85" s="68">
        <f t="shared" si="20"/>
        <v>14.448391416996373</v>
      </c>
      <c r="O85" s="68">
        <f t="shared" si="17"/>
        <v>15.704773279343884</v>
      </c>
    </row>
    <row r="86" spans="2:15">
      <c r="B86">
        <f t="shared" si="21"/>
        <v>22</v>
      </c>
      <c r="C86" s="68">
        <f t="shared" si="10"/>
        <v>3.98400745185831</v>
      </c>
      <c r="D86" s="68">
        <f t="shared" si="11"/>
        <v>0</v>
      </c>
      <c r="E86" s="68">
        <f t="shared" si="12"/>
        <v>0</v>
      </c>
      <c r="F86" s="68">
        <f t="shared" si="18"/>
        <v>10.464383965138062</v>
      </c>
      <c r="G86" s="68">
        <f t="shared" si="19"/>
        <v>14.448391416996373</v>
      </c>
      <c r="H86" s="68">
        <f t="shared" si="13"/>
        <v>15.704773279343884</v>
      </c>
      <c r="J86">
        <f t="shared" si="22"/>
        <v>22</v>
      </c>
      <c r="K86" s="68">
        <f t="shared" si="14"/>
        <v>3.98400745185831</v>
      </c>
      <c r="L86" s="68">
        <f t="shared" si="15"/>
        <v>10.464383965138062</v>
      </c>
      <c r="M86" s="68">
        <f t="shared" si="16"/>
        <v>0</v>
      </c>
      <c r="N86" s="68">
        <f t="shared" si="20"/>
        <v>14.448391416996373</v>
      </c>
      <c r="O86" s="68">
        <f t="shared" si="17"/>
        <v>15.704773279343884</v>
      </c>
    </row>
    <row r="87" spans="2:15">
      <c r="B87">
        <f t="shared" si="21"/>
        <v>23</v>
      </c>
      <c r="C87" s="68">
        <f t="shared" si="10"/>
        <v>3.98400745185831</v>
      </c>
      <c r="D87" s="68">
        <f t="shared" si="11"/>
        <v>0</v>
      </c>
      <c r="E87" s="68">
        <f t="shared" si="12"/>
        <v>0</v>
      </c>
      <c r="F87" s="68">
        <f t="shared" si="18"/>
        <v>10.464383965138062</v>
      </c>
      <c r="G87" s="68">
        <f t="shared" si="19"/>
        <v>14.448391416996373</v>
      </c>
      <c r="H87" s="68">
        <f t="shared" si="13"/>
        <v>15.704773279343884</v>
      </c>
      <c r="J87">
        <f t="shared" si="22"/>
        <v>23</v>
      </c>
      <c r="K87" s="68">
        <f t="shared" si="14"/>
        <v>3.98400745185831</v>
      </c>
      <c r="L87" s="68">
        <f t="shared" si="15"/>
        <v>10.464383965138062</v>
      </c>
      <c r="M87" s="68">
        <f t="shared" si="16"/>
        <v>0</v>
      </c>
      <c r="N87" s="68">
        <f t="shared" si="20"/>
        <v>14.448391416996373</v>
      </c>
      <c r="O87" s="68">
        <f t="shared" si="17"/>
        <v>15.704773279343884</v>
      </c>
    </row>
    <row r="88" spans="2:15">
      <c r="B88">
        <f t="shared" si="21"/>
        <v>24</v>
      </c>
      <c r="C88" s="68">
        <f t="shared" si="10"/>
        <v>3.98400745185831</v>
      </c>
      <c r="D88" s="68">
        <f t="shared" si="11"/>
        <v>0</v>
      </c>
      <c r="E88" s="68">
        <f t="shared" si="12"/>
        <v>0</v>
      </c>
      <c r="F88" s="68">
        <f t="shared" si="18"/>
        <v>10.464383965138062</v>
      </c>
      <c r="G88" s="68">
        <f t="shared" si="19"/>
        <v>14.448391416996373</v>
      </c>
      <c r="H88" s="68">
        <f t="shared" si="13"/>
        <v>15.704773279343884</v>
      </c>
      <c r="J88">
        <f t="shared" si="22"/>
        <v>24</v>
      </c>
      <c r="K88" s="68">
        <f t="shared" si="14"/>
        <v>3.98400745185831</v>
      </c>
      <c r="L88" s="68">
        <f t="shared" si="15"/>
        <v>10.464383965138062</v>
      </c>
      <c r="M88" s="68">
        <f t="shared" si="16"/>
        <v>0</v>
      </c>
      <c r="N88" s="68">
        <f t="shared" si="20"/>
        <v>14.448391416996373</v>
      </c>
      <c r="O88" s="68">
        <f t="shared" si="17"/>
        <v>15.704773279343884</v>
      </c>
    </row>
    <row r="89" spans="2:15">
      <c r="B89">
        <f t="shared" si="21"/>
        <v>25</v>
      </c>
      <c r="C89" s="68">
        <f t="shared" si="10"/>
        <v>3.98400745185831</v>
      </c>
      <c r="D89" s="68">
        <f t="shared" si="11"/>
        <v>0</v>
      </c>
      <c r="E89" s="68">
        <f t="shared" si="12"/>
        <v>0</v>
      </c>
      <c r="F89" s="68">
        <f t="shared" si="18"/>
        <v>10.464383965138062</v>
      </c>
      <c r="G89" s="68">
        <f t="shared" si="19"/>
        <v>14.448391416996373</v>
      </c>
      <c r="H89" s="68">
        <f t="shared" si="13"/>
        <v>15.704773279343884</v>
      </c>
      <c r="J89">
        <v>25</v>
      </c>
      <c r="K89" s="68">
        <f t="shared" si="14"/>
        <v>3.98400745185831</v>
      </c>
      <c r="L89" s="68">
        <f t="shared" si="15"/>
        <v>10.464383965138062</v>
      </c>
      <c r="M89" s="68">
        <f t="shared" si="16"/>
        <v>0</v>
      </c>
      <c r="N89" s="68">
        <f t="shared" si="20"/>
        <v>14.448391416996373</v>
      </c>
      <c r="O89" s="68">
        <f t="shared" si="17"/>
        <v>15.704773279343884</v>
      </c>
    </row>
    <row r="90" spans="2:15">
      <c r="B90" t="s">
        <v>16</v>
      </c>
      <c r="G90" s="83">
        <f>-PMT(10%,20,NPV(10%,G65:G89))</f>
        <v>28.105036859774739</v>
      </c>
      <c r="H90" s="83">
        <f>-PMT(10%,20,NPV(10%,H65:H89))</f>
        <v>30.548953108450789</v>
      </c>
      <c r="J90" t="s">
        <v>16</v>
      </c>
      <c r="N90" s="74">
        <f>-PMT(10%,20,NPV(10%,N65:N89))</f>
        <v>28.105036859774739</v>
      </c>
      <c r="O90" s="74">
        <f>-PMT(10%,20,NPV(10%,O65:O89))</f>
        <v>30.548953108450789</v>
      </c>
    </row>
    <row r="92" spans="2:15">
      <c r="F92" s="68">
        <f t="shared" ref="F92:F110" si="23">D65+F65</f>
        <v>20.847419889443422</v>
      </c>
    </row>
    <row r="93" spans="2:15">
      <c r="F93" s="68">
        <f t="shared" si="23"/>
        <v>21.432537070663226</v>
      </c>
    </row>
    <row r="94" spans="2:15">
      <c r="F94" s="68">
        <f t="shared" si="23"/>
        <v>22.05062747072331</v>
      </c>
    </row>
    <row r="95" spans="2:15">
      <c r="F95" s="68">
        <f t="shared" si="23"/>
        <v>22.70354923564226</v>
      </c>
    </row>
    <row r="96" spans="2:15">
      <c r="F96" s="68">
        <f t="shared" si="23"/>
        <v>23.393265223891611</v>
      </c>
    </row>
    <row r="97" spans="6:6">
      <c r="F97" s="68">
        <f t="shared" si="23"/>
        <v>24.121848907276444</v>
      </c>
    </row>
    <row r="98" spans="6:6">
      <c r="F98" s="68">
        <f t="shared" si="23"/>
        <v>24.891490604349443</v>
      </c>
    </row>
    <row r="99" spans="6:6">
      <c r="F99" s="68">
        <f t="shared" si="23"/>
        <v>25.704504065097694</v>
      </c>
    </row>
    <row r="100" spans="6:6">
      <c r="F100" s="68">
        <f t="shared" si="23"/>
        <v>26.563333426697564</v>
      </c>
    </row>
    <row r="101" spans="6:6">
      <c r="F101" s="68">
        <f t="shared" si="23"/>
        <v>27.470560561248575</v>
      </c>
    </row>
    <row r="102" spans="6:6">
      <c r="F102" s="68">
        <f t="shared" si="23"/>
        <v>10.464383965138062</v>
      </c>
    </row>
    <row r="103" spans="6:6">
      <c r="F103" s="68">
        <f t="shared" si="23"/>
        <v>10.464383965138062</v>
      </c>
    </row>
    <row r="104" spans="6:6">
      <c r="F104" s="68">
        <f t="shared" si="23"/>
        <v>10.464383965138062</v>
      </c>
    </row>
    <row r="105" spans="6:6">
      <c r="F105" s="68">
        <f t="shared" si="23"/>
        <v>10.464383965138062</v>
      </c>
    </row>
    <row r="106" spans="6:6">
      <c r="F106" s="68">
        <f t="shared" si="23"/>
        <v>10.464383965138062</v>
      </c>
    </row>
    <row r="107" spans="6:6">
      <c r="F107" s="68">
        <f t="shared" si="23"/>
        <v>10.464383965138062</v>
      </c>
    </row>
    <row r="108" spans="6:6">
      <c r="F108" s="68">
        <f t="shared" si="23"/>
        <v>10.464383965138062</v>
      </c>
    </row>
    <row r="109" spans="6:6">
      <c r="F109" s="68">
        <f t="shared" si="23"/>
        <v>10.464383965138062</v>
      </c>
    </row>
    <row r="110" spans="6:6">
      <c r="F110" s="68">
        <f t="shared" si="23"/>
        <v>10.464383965138062</v>
      </c>
    </row>
    <row r="111" spans="6:6">
      <c r="F111" s="68">
        <f t="shared" ref="F111" si="24">D89+F89</f>
        <v>10.464383965138062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1"/>
  <sheetViews>
    <sheetView topLeftCell="B3" workbookViewId="0">
      <selection activeCell="C14" sqref="C14"/>
    </sheetView>
  </sheetViews>
  <sheetFormatPr baseColWidth="10" defaultColWidth="8.83203125" defaultRowHeight="15" x14ac:dyDescent="0"/>
  <cols>
    <col min="2" max="2" width="34.5" bestFit="1" customWidth="1"/>
    <col min="3" max="3" width="9.83203125" bestFit="1" customWidth="1"/>
    <col min="4" max="4" width="14.33203125" bestFit="1" customWidth="1"/>
    <col min="5" max="5" width="15.1640625" bestFit="1" customWidth="1"/>
    <col min="6" max="6" width="16.6640625" bestFit="1" customWidth="1"/>
    <col min="7" max="7" width="17.33203125" bestFit="1" customWidth="1"/>
    <col min="8" max="8" width="21.6640625" bestFit="1" customWidth="1"/>
    <col min="9" max="9" width="15.6640625" bestFit="1" customWidth="1"/>
    <col min="10" max="10" width="39.1640625" bestFit="1" customWidth="1"/>
    <col min="11" max="11" width="20.33203125" bestFit="1" customWidth="1"/>
    <col min="12" max="12" width="19.1640625" bestFit="1" customWidth="1"/>
    <col min="13" max="13" width="8.6640625" bestFit="1" customWidth="1"/>
  </cols>
  <sheetData>
    <row r="1" spans="2:21">
      <c r="G1" t="s">
        <v>60</v>
      </c>
      <c r="H1">
        <f>I1</f>
        <v>1436.64</v>
      </c>
      <c r="I1">
        <f>1*8760*0.164</f>
        <v>1436.64</v>
      </c>
    </row>
    <row r="2" spans="2:21">
      <c r="B2" t="s">
        <v>21</v>
      </c>
      <c r="E2" t="s">
        <v>23</v>
      </c>
      <c r="H2" t="s">
        <v>44</v>
      </c>
      <c r="I2" s="66" t="s">
        <v>33</v>
      </c>
      <c r="J2" t="s">
        <v>45</v>
      </c>
      <c r="K2" t="s">
        <v>46</v>
      </c>
    </row>
    <row r="3" spans="2:21">
      <c r="B3" t="s">
        <v>22</v>
      </c>
      <c r="C3" s="70">
        <f>I15</f>
        <v>2450000</v>
      </c>
      <c r="E3" t="s">
        <v>24</v>
      </c>
      <c r="F3" s="70">
        <f>L23</f>
        <v>39818.074999999997</v>
      </c>
      <c r="H3" t="s">
        <v>34</v>
      </c>
      <c r="I3" s="66">
        <v>2100000</v>
      </c>
    </row>
    <row r="4" spans="2:21">
      <c r="B4" t="s">
        <v>17</v>
      </c>
      <c r="C4" s="71">
        <v>0.75</v>
      </c>
      <c r="H4" t="s">
        <v>35</v>
      </c>
      <c r="I4" s="66"/>
      <c r="J4" s="72">
        <v>1.4999999999999999E-2</v>
      </c>
      <c r="K4" t="s">
        <v>47</v>
      </c>
    </row>
    <row r="5" spans="2:21">
      <c r="B5" t="s">
        <v>3</v>
      </c>
      <c r="C5" s="71">
        <f>1-C4</f>
        <v>0.25</v>
      </c>
      <c r="E5" t="s">
        <v>25</v>
      </c>
      <c r="H5" t="s">
        <v>36</v>
      </c>
      <c r="I5" s="66"/>
      <c r="J5" s="72">
        <v>8.9999999999999993E-3</v>
      </c>
      <c r="K5" t="s">
        <v>47</v>
      </c>
    </row>
    <row r="6" spans="2:21">
      <c r="E6" t="s">
        <v>26</v>
      </c>
      <c r="F6" s="66">
        <f>H1*1000</f>
        <v>1436640</v>
      </c>
      <c r="H6" t="s">
        <v>37</v>
      </c>
      <c r="I6" s="66">
        <f>I3*J6*80%</f>
        <v>0</v>
      </c>
      <c r="J6" s="71">
        <v>0</v>
      </c>
      <c r="K6" t="s">
        <v>47</v>
      </c>
    </row>
    <row r="7" spans="2:21">
      <c r="B7" t="s">
        <v>27</v>
      </c>
      <c r="H7" t="s">
        <v>38</v>
      </c>
      <c r="I7" s="66">
        <f>SUM(I3:I6)</f>
        <v>2100000</v>
      </c>
    </row>
    <row r="8" spans="2:21">
      <c r="B8" t="s">
        <v>17</v>
      </c>
    </row>
    <row r="9" spans="2:21">
      <c r="B9" s="66" t="s">
        <v>0</v>
      </c>
      <c r="C9" s="72">
        <v>7.4999999999999997E-3</v>
      </c>
      <c r="D9" s="66"/>
      <c r="E9" s="66" t="s">
        <v>17</v>
      </c>
      <c r="F9" s="70">
        <f>C3*C4</f>
        <v>1837500</v>
      </c>
      <c r="G9" s="66"/>
      <c r="H9" t="s">
        <v>39</v>
      </c>
      <c r="I9" s="66">
        <v>350000</v>
      </c>
      <c r="J9" s="66" t="s">
        <v>50</v>
      </c>
      <c r="K9" s="66"/>
      <c r="L9" t="s">
        <v>39</v>
      </c>
      <c r="M9" s="66"/>
      <c r="N9" s="66"/>
      <c r="O9" s="66"/>
      <c r="P9" s="66"/>
      <c r="Q9" s="66"/>
      <c r="R9" s="66"/>
      <c r="S9" s="66"/>
      <c r="T9" s="66"/>
      <c r="U9" s="66"/>
    </row>
    <row r="10" spans="2:21">
      <c r="B10" s="66" t="s">
        <v>1</v>
      </c>
      <c r="C10" s="72">
        <v>4.5999999999999999E-2</v>
      </c>
      <c r="D10" s="66"/>
      <c r="E10" s="66"/>
      <c r="F10" s="66"/>
      <c r="G10" s="66"/>
      <c r="H10" t="s">
        <v>40</v>
      </c>
      <c r="I10" s="66">
        <v>0</v>
      </c>
      <c r="J10" s="66" t="s">
        <v>51</v>
      </c>
      <c r="K10" s="66"/>
      <c r="L10" s="66" t="s">
        <v>53</v>
      </c>
      <c r="M10" s="66">
        <v>50000</v>
      </c>
      <c r="N10" s="66"/>
      <c r="O10" s="66"/>
      <c r="P10" s="66"/>
      <c r="Q10" s="66"/>
      <c r="R10" s="66"/>
      <c r="S10" s="66"/>
      <c r="T10" s="66"/>
      <c r="U10" s="66"/>
    </row>
    <row r="11" spans="2:21">
      <c r="B11" s="66" t="s">
        <v>2</v>
      </c>
      <c r="C11" s="72">
        <f>SUM(C9:C10)</f>
        <v>5.3499999999999999E-2</v>
      </c>
      <c r="D11" s="66"/>
      <c r="E11" s="66" t="s">
        <v>3</v>
      </c>
      <c r="F11" s="70">
        <f>C3-F19</f>
        <v>612500</v>
      </c>
      <c r="G11" s="66"/>
      <c r="H11" t="s">
        <v>41</v>
      </c>
      <c r="I11" s="66">
        <v>0</v>
      </c>
      <c r="J11" s="72">
        <v>1.35E-2</v>
      </c>
      <c r="K11" s="66" t="s">
        <v>48</v>
      </c>
      <c r="L11" s="66" t="s">
        <v>54</v>
      </c>
      <c r="M11" s="66">
        <v>50000</v>
      </c>
      <c r="N11" s="66"/>
      <c r="O11" s="66"/>
      <c r="P11" s="66"/>
      <c r="Q11" s="66"/>
      <c r="R11" s="66"/>
      <c r="S11" s="66"/>
      <c r="T11" s="66"/>
      <c r="U11" s="66"/>
    </row>
    <row r="12" spans="2:21">
      <c r="B12" s="66"/>
      <c r="C12" s="72"/>
      <c r="D12" s="66"/>
      <c r="E12" s="66" t="s">
        <v>19</v>
      </c>
      <c r="F12" s="70">
        <f>F11*C14*0.75</f>
        <v>78093.750000000015</v>
      </c>
      <c r="G12" s="66"/>
      <c r="H12" t="s">
        <v>42</v>
      </c>
      <c r="I12" s="66">
        <v>0</v>
      </c>
      <c r="J12" s="66" t="s">
        <v>52</v>
      </c>
      <c r="K12" s="66"/>
      <c r="L12" s="66" t="s">
        <v>55</v>
      </c>
      <c r="M12" s="66">
        <v>100000</v>
      </c>
      <c r="N12" s="66"/>
      <c r="O12" s="66"/>
      <c r="P12" s="66"/>
      <c r="Q12" s="66"/>
      <c r="R12" s="66"/>
      <c r="S12" s="66"/>
      <c r="T12" s="66"/>
      <c r="U12" s="66"/>
    </row>
    <row r="13" spans="2:21">
      <c r="B13" s="66" t="s">
        <v>3</v>
      </c>
      <c r="C13" s="72"/>
      <c r="D13" s="66"/>
      <c r="E13" s="66" t="s">
        <v>20</v>
      </c>
      <c r="F13" s="70">
        <f>F11+F12</f>
        <v>690593.75</v>
      </c>
      <c r="G13" s="66"/>
      <c r="H13" t="s">
        <v>43</v>
      </c>
      <c r="I13" s="66">
        <v>0</v>
      </c>
      <c r="J13" s="72">
        <v>3.5000000000000003E-2</v>
      </c>
      <c r="K13" s="66" t="s">
        <v>49</v>
      </c>
      <c r="L13" s="66" t="s">
        <v>56</v>
      </c>
      <c r="M13" s="66">
        <f>I3*0.02</f>
        <v>42000</v>
      </c>
      <c r="N13" s="66"/>
      <c r="O13" s="66"/>
      <c r="P13" s="66"/>
      <c r="Q13" s="66"/>
      <c r="R13" s="66"/>
      <c r="S13" s="66"/>
      <c r="T13" s="66"/>
      <c r="U13" s="66"/>
    </row>
    <row r="14" spans="2:21">
      <c r="B14" s="66" t="s">
        <v>11</v>
      </c>
      <c r="C14" s="71">
        <v>0.17</v>
      </c>
      <c r="D14" s="66"/>
      <c r="E14" s="66"/>
      <c r="F14" s="66"/>
      <c r="G14" s="66"/>
      <c r="I14" s="66"/>
      <c r="J14" s="66"/>
      <c r="K14" s="66"/>
      <c r="L14" s="66" t="s">
        <v>57</v>
      </c>
      <c r="M14" s="66">
        <v>30000</v>
      </c>
      <c r="N14" s="66"/>
      <c r="O14" s="66"/>
      <c r="P14" s="66"/>
      <c r="Q14" s="66"/>
      <c r="R14" s="66"/>
      <c r="S14" s="66"/>
      <c r="T14" s="66"/>
      <c r="U14" s="66"/>
    </row>
    <row r="15" spans="2:21">
      <c r="B15" s="66"/>
      <c r="C15" s="72"/>
      <c r="D15" s="66"/>
      <c r="E15" s="66" t="s">
        <v>6</v>
      </c>
      <c r="F15" s="66">
        <v>92</v>
      </c>
      <c r="G15" s="66"/>
      <c r="H15" t="s">
        <v>2</v>
      </c>
      <c r="I15" s="66">
        <f>SUM(I7:I14)</f>
        <v>2450000</v>
      </c>
      <c r="J15" s="66"/>
      <c r="K15" s="66"/>
      <c r="L15" s="66"/>
      <c r="M15" s="66">
        <f>SUM(M10:M14)</f>
        <v>272000</v>
      </c>
      <c r="N15" s="66"/>
      <c r="O15" s="66"/>
      <c r="P15" s="66"/>
      <c r="Q15" s="66"/>
      <c r="R15" s="66"/>
      <c r="S15" s="66"/>
      <c r="T15" s="66"/>
      <c r="U15" s="66"/>
    </row>
    <row r="16" spans="2:21">
      <c r="B16" s="66"/>
      <c r="C16" s="66"/>
      <c r="D16" s="66"/>
      <c r="E16" s="66"/>
      <c r="F16" s="66"/>
      <c r="G16" s="66"/>
      <c r="H16" s="66"/>
      <c r="I16" s="66"/>
      <c r="J16" s="66">
        <f>I15+F12</f>
        <v>2528093.75</v>
      </c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2:21">
      <c r="B17" s="66" t="s">
        <v>28</v>
      </c>
      <c r="C17" s="66"/>
      <c r="D17" s="66"/>
      <c r="E17" s="66"/>
      <c r="F17" s="66"/>
      <c r="G17" s="66"/>
      <c r="H17" s="66">
        <f>F11*C14</f>
        <v>104125.00000000001</v>
      </c>
      <c r="I17" s="66"/>
      <c r="J17" s="66">
        <f>F9*86</f>
        <v>158025000</v>
      </c>
      <c r="K17" s="66">
        <f>F9*C11*1.33</f>
        <v>130747.3125</v>
      </c>
      <c r="L17" s="66"/>
      <c r="M17" s="66">
        <f>2853000/50</f>
        <v>57060</v>
      </c>
      <c r="N17" s="66"/>
      <c r="O17" s="66"/>
      <c r="P17" s="66"/>
      <c r="Q17" s="66"/>
      <c r="R17" s="66"/>
      <c r="S17" s="66"/>
      <c r="T17" s="66"/>
      <c r="U17" s="66"/>
    </row>
    <row r="18" spans="2:21">
      <c r="B18" s="66" t="s">
        <v>30</v>
      </c>
      <c r="C18" s="70" t="s">
        <v>7</v>
      </c>
      <c r="D18" s="70" t="s">
        <v>8</v>
      </c>
      <c r="E18" s="70" t="s">
        <v>12</v>
      </c>
      <c r="F18" s="66" t="s">
        <v>4</v>
      </c>
      <c r="G18" s="70" t="s">
        <v>7</v>
      </c>
      <c r="H18" s="70" t="s">
        <v>8</v>
      </c>
      <c r="I18" s="70" t="s">
        <v>12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2:21">
      <c r="B19" s="66"/>
      <c r="C19" s="70"/>
      <c r="D19" s="70"/>
      <c r="E19" s="70"/>
      <c r="F19" s="70">
        <f>C3*C4</f>
        <v>1837500</v>
      </c>
      <c r="G19" s="70" t="s">
        <v>29</v>
      </c>
      <c r="H19" s="70"/>
      <c r="I19" s="70"/>
      <c r="J19" s="73">
        <f>F6/438000/1000</f>
        <v>3.2799999999999999E-3</v>
      </c>
      <c r="K19" s="66"/>
      <c r="L19" s="66">
        <f>I15*0.0094735</f>
        <v>23210.074999999997</v>
      </c>
      <c r="M19" s="66"/>
      <c r="N19" s="66"/>
      <c r="O19" s="66"/>
      <c r="P19" s="66"/>
      <c r="Q19" s="74"/>
      <c r="R19" s="66"/>
      <c r="S19" s="66"/>
      <c r="T19" s="66"/>
      <c r="U19" s="66"/>
    </row>
    <row r="20" spans="2:21">
      <c r="B20">
        <v>1</v>
      </c>
      <c r="C20" s="70">
        <f>E20-D20</f>
        <v>35039.098243590204</v>
      </c>
      <c r="D20" s="70">
        <f>F19*$C$11/4</f>
        <v>24576.5625</v>
      </c>
      <c r="E20" s="70">
        <f>PMT($C$11/4,40,-$F$19)</f>
        <v>59615.660743590204</v>
      </c>
      <c r="F20" s="70">
        <f>F19-C20</f>
        <v>1802460.9017564098</v>
      </c>
      <c r="G20" s="75">
        <f t="shared" ref="G20:I20" si="0">IF(MOD($B20,4)=0,SUM(C17:C20),0)/$F$6*$F$15</f>
        <v>0</v>
      </c>
      <c r="H20" s="75">
        <f t="shared" si="0"/>
        <v>0</v>
      </c>
      <c r="I20" s="75">
        <f t="shared" si="0"/>
        <v>0</v>
      </c>
      <c r="J20" s="66">
        <f>F11*86</f>
        <v>52675000</v>
      </c>
      <c r="K20" s="66"/>
      <c r="L20" s="66">
        <v>16608</v>
      </c>
      <c r="M20" s="66"/>
      <c r="N20" s="66"/>
      <c r="O20" s="66"/>
      <c r="P20" s="66"/>
      <c r="Q20" s="66"/>
      <c r="R20" s="66"/>
      <c r="S20" s="66"/>
      <c r="T20" s="66"/>
      <c r="U20" s="66"/>
    </row>
    <row r="21" spans="2:21">
      <c r="B21">
        <f>B20+1</f>
        <v>2</v>
      </c>
      <c r="C21" s="70">
        <f t="shared" ref="C21:C59" si="1">E21-D21</f>
        <v>35507.746182598225</v>
      </c>
      <c r="D21" s="70">
        <f t="shared" ref="D21:D59" si="2">F20*$C$11/4</f>
        <v>24107.91456099198</v>
      </c>
      <c r="E21" s="70">
        <f t="shared" ref="E21:E59" si="3">PMT($C$11/4,40,-$F$19)</f>
        <v>59615.660743590204</v>
      </c>
      <c r="F21" s="70">
        <f t="shared" ref="F21:F59" si="4">F20-C21</f>
        <v>1766953.1555738116</v>
      </c>
      <c r="G21" s="75">
        <f t="shared" ref="G21:I23" si="5">IF(MOD($B21,4)=0,SUM(C18:C21),0)/$F$6*$F$15</f>
        <v>0</v>
      </c>
      <c r="H21" s="75">
        <f t="shared" si="5"/>
        <v>0</v>
      </c>
      <c r="I21" s="75">
        <f t="shared" si="5"/>
        <v>0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2:21">
      <c r="B22">
        <f t="shared" ref="B22:B59" si="6">B21+1</f>
        <v>3</v>
      </c>
      <c r="C22" s="70">
        <f t="shared" si="1"/>
        <v>35982.662287790474</v>
      </c>
      <c r="D22" s="70">
        <f t="shared" si="2"/>
        <v>23632.99845579973</v>
      </c>
      <c r="E22" s="70">
        <f t="shared" si="3"/>
        <v>59615.660743590204</v>
      </c>
      <c r="F22" s="70">
        <f t="shared" si="4"/>
        <v>1730970.4932860211</v>
      </c>
      <c r="G22" s="75">
        <f t="shared" si="5"/>
        <v>0</v>
      </c>
      <c r="H22" s="75">
        <f t="shared" si="5"/>
        <v>0</v>
      </c>
      <c r="I22" s="75">
        <f t="shared" si="5"/>
        <v>0</v>
      </c>
      <c r="J22" s="66"/>
      <c r="K22" s="66"/>
      <c r="L22" s="66">
        <f>I3*0</f>
        <v>0</v>
      </c>
      <c r="M22" s="66"/>
      <c r="N22" s="66"/>
      <c r="O22" s="66"/>
      <c r="P22" s="66"/>
      <c r="Q22" s="66"/>
      <c r="R22" s="66"/>
      <c r="S22" s="66"/>
      <c r="T22" s="66"/>
      <c r="U22" s="66"/>
    </row>
    <row r="23" spans="2:21">
      <c r="B23">
        <f t="shared" si="6"/>
        <v>4</v>
      </c>
      <c r="C23" s="70">
        <f t="shared" si="1"/>
        <v>36463.930395889678</v>
      </c>
      <c r="D23" s="70">
        <f t="shared" si="2"/>
        <v>23151.73034770053</v>
      </c>
      <c r="E23" s="70">
        <f t="shared" si="3"/>
        <v>59615.660743590204</v>
      </c>
      <c r="F23" s="70">
        <f t="shared" si="4"/>
        <v>1694506.5628901315</v>
      </c>
      <c r="G23" s="75">
        <f>IF(MOD($B23,4)=0,SUM(C20:C23),0)/$F$6*$F$15</f>
        <v>9.1570582846836412</v>
      </c>
      <c r="H23" s="75">
        <f t="shared" si="5"/>
        <v>6.1136867548817291</v>
      </c>
      <c r="I23" s="75">
        <f t="shared" si="5"/>
        <v>15.270745039565371</v>
      </c>
      <c r="J23" s="66"/>
      <c r="K23" s="66"/>
      <c r="L23" s="66">
        <f>SUM(L19:L22)</f>
        <v>39818.074999999997</v>
      </c>
      <c r="M23" s="66"/>
      <c r="N23" s="66"/>
      <c r="O23" s="66"/>
      <c r="P23" s="66"/>
      <c r="Q23" s="66"/>
      <c r="R23" s="66"/>
      <c r="S23" s="66"/>
      <c r="T23" s="66"/>
      <c r="U23" s="66"/>
    </row>
    <row r="24" spans="2:21">
      <c r="B24">
        <f t="shared" si="6"/>
        <v>5</v>
      </c>
      <c r="C24" s="70">
        <f t="shared" si="1"/>
        <v>36951.635464934698</v>
      </c>
      <c r="D24" s="70">
        <f t="shared" si="2"/>
        <v>22664.025278655507</v>
      </c>
      <c r="E24" s="70">
        <f t="shared" si="3"/>
        <v>59615.660743590204</v>
      </c>
      <c r="F24" s="70">
        <f t="shared" si="4"/>
        <v>1657554.9274251969</v>
      </c>
      <c r="G24" s="75">
        <f t="shared" ref="G24:I39" si="7">IF(MOD($B24,4)=0,SUM(C21:C24),0)/$F$6*$F$15</f>
        <v>0</v>
      </c>
      <c r="H24" s="75">
        <f t="shared" si="7"/>
        <v>0</v>
      </c>
      <c r="I24" s="75">
        <f t="shared" si="7"/>
        <v>0</v>
      </c>
    </row>
    <row r="25" spans="2:21">
      <c r="B25">
        <f t="shared" si="6"/>
        <v>6</v>
      </c>
      <c r="C25" s="70">
        <f t="shared" si="1"/>
        <v>37445.863589278197</v>
      </c>
      <c r="D25" s="70">
        <f t="shared" si="2"/>
        <v>22169.797154312007</v>
      </c>
      <c r="E25" s="70">
        <f t="shared" si="3"/>
        <v>59615.660743590204</v>
      </c>
      <c r="F25" s="70">
        <f t="shared" si="4"/>
        <v>1620109.0638359187</v>
      </c>
      <c r="G25" s="75">
        <f t="shared" si="7"/>
        <v>0</v>
      </c>
      <c r="H25" s="75">
        <f t="shared" si="7"/>
        <v>0</v>
      </c>
      <c r="I25" s="75">
        <f t="shared" si="7"/>
        <v>0</v>
      </c>
      <c r="U25" s="2"/>
    </row>
    <row r="26" spans="2:21">
      <c r="B26">
        <f t="shared" si="6"/>
        <v>7</v>
      </c>
      <c r="C26" s="70">
        <f t="shared" si="1"/>
        <v>37946.702014784794</v>
      </c>
      <c r="D26" s="70">
        <f t="shared" si="2"/>
        <v>21668.958728805414</v>
      </c>
      <c r="E26" s="70">
        <f t="shared" si="3"/>
        <v>59615.660743590204</v>
      </c>
      <c r="F26" s="70">
        <f t="shared" si="4"/>
        <v>1582162.3618211339</v>
      </c>
      <c r="G26" s="75">
        <f t="shared" si="7"/>
        <v>0</v>
      </c>
      <c r="H26" s="75">
        <f t="shared" si="7"/>
        <v>0</v>
      </c>
      <c r="I26" s="75">
        <f t="shared" si="7"/>
        <v>0</v>
      </c>
    </row>
    <row r="27" spans="2:21">
      <c r="B27">
        <f t="shared" si="6"/>
        <v>8</v>
      </c>
      <c r="C27" s="70">
        <f t="shared" si="1"/>
        <v>38454.239154232535</v>
      </c>
      <c r="D27" s="70">
        <f t="shared" si="2"/>
        <v>21161.421589357666</v>
      </c>
      <c r="E27" s="70">
        <f t="shared" si="3"/>
        <v>59615.660743590204</v>
      </c>
      <c r="F27" s="70">
        <f t="shared" si="4"/>
        <v>1543708.1226669014</v>
      </c>
      <c r="G27" s="75">
        <f t="shared" si="7"/>
        <v>9.6568775062208907</v>
      </c>
      <c r="H27" s="75">
        <f t="shared" si="7"/>
        <v>5.6138675333444805</v>
      </c>
      <c r="I27" s="75">
        <f t="shared" si="7"/>
        <v>15.270745039565371</v>
      </c>
    </row>
    <row r="28" spans="2:21">
      <c r="B28">
        <f t="shared" si="6"/>
        <v>9</v>
      </c>
      <c r="C28" s="70">
        <f t="shared" si="1"/>
        <v>38968.564602920393</v>
      </c>
      <c r="D28" s="70">
        <f t="shared" si="2"/>
        <v>20647.096140669808</v>
      </c>
      <c r="E28" s="70">
        <f t="shared" si="3"/>
        <v>59615.660743590204</v>
      </c>
      <c r="F28" s="70">
        <f t="shared" si="4"/>
        <v>1504739.5580639811</v>
      </c>
      <c r="G28" s="75">
        <f t="shared" si="7"/>
        <v>0</v>
      </c>
      <c r="H28" s="75">
        <f t="shared" si="7"/>
        <v>0</v>
      </c>
      <c r="I28" s="75">
        <f t="shared" si="7"/>
        <v>0</v>
      </c>
    </row>
    <row r="29" spans="2:21">
      <c r="B29">
        <f t="shared" si="6"/>
        <v>10</v>
      </c>
      <c r="C29" s="70">
        <f t="shared" si="1"/>
        <v>39489.769154484457</v>
      </c>
      <c r="D29" s="70">
        <f t="shared" si="2"/>
        <v>20125.891589105748</v>
      </c>
      <c r="E29" s="70">
        <f t="shared" si="3"/>
        <v>59615.660743590204</v>
      </c>
      <c r="F29" s="70">
        <f t="shared" si="4"/>
        <v>1465249.7889094967</v>
      </c>
      <c r="G29" s="75">
        <f t="shared" si="7"/>
        <v>0</v>
      </c>
      <c r="H29" s="75">
        <f t="shared" si="7"/>
        <v>0</v>
      </c>
      <c r="I29" s="75">
        <f t="shared" si="7"/>
        <v>0</v>
      </c>
    </row>
    <row r="30" spans="2:21">
      <c r="B30">
        <f t="shared" si="6"/>
        <v>11</v>
      </c>
      <c r="C30" s="70">
        <f t="shared" si="1"/>
        <v>40017.944816925687</v>
      </c>
      <c r="D30" s="70">
        <f t="shared" si="2"/>
        <v>19597.715926664518</v>
      </c>
      <c r="E30" s="70">
        <f t="shared" si="3"/>
        <v>59615.660743590204</v>
      </c>
      <c r="F30" s="70">
        <f t="shared" si="4"/>
        <v>1425231.8440925709</v>
      </c>
      <c r="G30" s="75">
        <f t="shared" si="7"/>
        <v>0</v>
      </c>
      <c r="H30" s="75">
        <f t="shared" si="7"/>
        <v>0</v>
      </c>
      <c r="I30" s="75">
        <f t="shared" si="7"/>
        <v>0</v>
      </c>
    </row>
    <row r="31" spans="2:21">
      <c r="B31">
        <f t="shared" si="6"/>
        <v>12</v>
      </c>
      <c r="C31" s="70">
        <f t="shared" si="1"/>
        <v>40553.18482885207</v>
      </c>
      <c r="D31" s="70">
        <f t="shared" si="2"/>
        <v>19062.475914738137</v>
      </c>
      <c r="E31" s="70">
        <f t="shared" si="3"/>
        <v>59615.660743590204</v>
      </c>
      <c r="F31" s="70">
        <f t="shared" si="4"/>
        <v>1384678.6592637189</v>
      </c>
      <c r="G31" s="75">
        <f t="shared" si="7"/>
        <v>10.183978333537141</v>
      </c>
      <c r="H31" s="75">
        <f t="shared" si="7"/>
        <v>5.0867667060282296</v>
      </c>
      <c r="I31" s="75">
        <f t="shared" si="7"/>
        <v>15.270745039565371</v>
      </c>
    </row>
    <row r="32" spans="2:21">
      <c r="B32">
        <f t="shared" si="6"/>
        <v>13</v>
      </c>
      <c r="C32" s="70">
        <f t="shared" si="1"/>
        <v>41095.58367593796</v>
      </c>
      <c r="D32" s="70">
        <f t="shared" si="2"/>
        <v>18520.077067652241</v>
      </c>
      <c r="E32" s="70">
        <f t="shared" si="3"/>
        <v>59615.660743590204</v>
      </c>
      <c r="F32" s="70">
        <f t="shared" si="4"/>
        <v>1343583.0755877809</v>
      </c>
      <c r="G32" s="75">
        <f t="shared" si="7"/>
        <v>0</v>
      </c>
      <c r="H32" s="75">
        <f t="shared" si="7"/>
        <v>0</v>
      </c>
      <c r="I32" s="75">
        <f t="shared" si="7"/>
        <v>0</v>
      </c>
    </row>
    <row r="33" spans="2:9">
      <c r="B33">
        <f t="shared" si="6"/>
        <v>14</v>
      </c>
      <c r="C33" s="70">
        <f t="shared" si="1"/>
        <v>41645.237107603636</v>
      </c>
      <c r="D33" s="70">
        <f t="shared" si="2"/>
        <v>17970.423635986568</v>
      </c>
      <c r="E33" s="70">
        <f t="shared" si="3"/>
        <v>59615.660743590204</v>
      </c>
      <c r="F33" s="70">
        <f t="shared" si="4"/>
        <v>1301937.8384801773</v>
      </c>
      <c r="G33" s="75">
        <f t="shared" si="7"/>
        <v>0</v>
      </c>
      <c r="H33" s="75">
        <f t="shared" si="7"/>
        <v>0</v>
      </c>
      <c r="I33" s="75">
        <f t="shared" si="7"/>
        <v>0</v>
      </c>
    </row>
    <row r="34" spans="2:9">
      <c r="B34">
        <f t="shared" si="6"/>
        <v>15</v>
      </c>
      <c r="C34" s="70">
        <f t="shared" si="1"/>
        <v>42202.242153917832</v>
      </c>
      <c r="D34" s="70">
        <f t="shared" si="2"/>
        <v>17413.418589672372</v>
      </c>
      <c r="E34" s="70">
        <f t="shared" si="3"/>
        <v>59615.660743590204</v>
      </c>
      <c r="F34" s="70">
        <f t="shared" si="4"/>
        <v>1259735.5963262594</v>
      </c>
      <c r="G34" s="75">
        <f t="shared" si="7"/>
        <v>0</v>
      </c>
      <c r="H34" s="75">
        <f t="shared" si="7"/>
        <v>0</v>
      </c>
      <c r="I34" s="75">
        <f t="shared" si="7"/>
        <v>0</v>
      </c>
    </row>
    <row r="35" spans="2:9">
      <c r="B35">
        <f t="shared" si="6"/>
        <v>16</v>
      </c>
      <c r="C35" s="70">
        <f t="shared" si="1"/>
        <v>42766.69714272648</v>
      </c>
      <c r="D35" s="70">
        <f t="shared" si="2"/>
        <v>16848.963600863721</v>
      </c>
      <c r="E35" s="70">
        <f t="shared" si="3"/>
        <v>59615.660743590204</v>
      </c>
      <c r="F35" s="70">
        <f t="shared" si="4"/>
        <v>1216968.8991835329</v>
      </c>
      <c r="G35" s="75">
        <f t="shared" si="7"/>
        <v>10.739849877058345</v>
      </c>
      <c r="H35" s="75">
        <f t="shared" si="7"/>
        <v>4.5308951625070248</v>
      </c>
      <c r="I35" s="75">
        <f t="shared" si="7"/>
        <v>15.270745039565371</v>
      </c>
    </row>
    <row r="36" spans="2:9">
      <c r="B36">
        <f t="shared" si="6"/>
        <v>17</v>
      </c>
      <c r="C36" s="70">
        <f t="shared" si="1"/>
        <v>43338.701717010452</v>
      </c>
      <c r="D36" s="70">
        <f t="shared" si="2"/>
        <v>16276.959026579752</v>
      </c>
      <c r="E36" s="70">
        <f t="shared" si="3"/>
        <v>59615.660743590204</v>
      </c>
      <c r="F36" s="70">
        <f t="shared" si="4"/>
        <v>1173630.1974665225</v>
      </c>
      <c r="G36" s="75">
        <f t="shared" si="7"/>
        <v>0</v>
      </c>
      <c r="H36" s="75">
        <f t="shared" si="7"/>
        <v>0</v>
      </c>
      <c r="I36" s="75">
        <f t="shared" si="7"/>
        <v>0</v>
      </c>
    </row>
    <row r="37" spans="2:9">
      <c r="B37">
        <f t="shared" si="6"/>
        <v>18</v>
      </c>
      <c r="C37" s="70">
        <f t="shared" si="1"/>
        <v>43918.356852475466</v>
      </c>
      <c r="D37" s="70">
        <f t="shared" si="2"/>
        <v>15697.303891114738</v>
      </c>
      <c r="E37" s="70">
        <f t="shared" si="3"/>
        <v>59615.660743590204</v>
      </c>
      <c r="F37" s="70">
        <f t="shared" si="4"/>
        <v>1129711.8406140469</v>
      </c>
      <c r="G37" s="75">
        <f t="shared" si="7"/>
        <v>0</v>
      </c>
      <c r="H37" s="75">
        <f t="shared" si="7"/>
        <v>0</v>
      </c>
      <c r="I37" s="75">
        <f t="shared" si="7"/>
        <v>0</v>
      </c>
    </row>
    <row r="38" spans="2:9">
      <c r="B38">
        <f t="shared" si="6"/>
        <v>19</v>
      </c>
      <c r="C38" s="70">
        <f t="shared" si="1"/>
        <v>44505.764875377325</v>
      </c>
      <c r="D38" s="70">
        <f t="shared" si="2"/>
        <v>15109.895868212878</v>
      </c>
      <c r="E38" s="70">
        <f t="shared" si="3"/>
        <v>59615.660743590204</v>
      </c>
      <c r="F38" s="70">
        <f t="shared" si="4"/>
        <v>1085206.0757386696</v>
      </c>
      <c r="G38" s="75">
        <f t="shared" si="7"/>
        <v>0</v>
      </c>
      <c r="H38" s="75">
        <f t="shared" si="7"/>
        <v>0</v>
      </c>
      <c r="I38" s="75">
        <f t="shared" si="7"/>
        <v>0</v>
      </c>
    </row>
    <row r="39" spans="2:9">
      <c r="B39">
        <f t="shared" si="6"/>
        <v>20</v>
      </c>
      <c r="C39" s="70">
        <f t="shared" si="1"/>
        <v>45101.029480585501</v>
      </c>
      <c r="D39" s="70">
        <f t="shared" si="2"/>
        <v>14514.631263004705</v>
      </c>
      <c r="E39" s="70">
        <f t="shared" si="3"/>
        <v>59615.660743590204</v>
      </c>
      <c r="F39" s="70">
        <f t="shared" si="4"/>
        <v>1040105.0462580841</v>
      </c>
      <c r="G39" s="75">
        <f t="shared" si="7"/>
        <v>11.326062527245021</v>
      </c>
      <c r="H39" s="75">
        <f t="shared" si="7"/>
        <v>3.9446825123203522</v>
      </c>
      <c r="I39" s="75">
        <f t="shared" si="7"/>
        <v>15.270745039565371</v>
      </c>
    </row>
    <row r="40" spans="2:9">
      <c r="B40">
        <f t="shared" si="6"/>
        <v>21</v>
      </c>
      <c r="C40" s="70">
        <f t="shared" si="1"/>
        <v>45704.255749888325</v>
      </c>
      <c r="D40" s="70">
        <f t="shared" si="2"/>
        <v>13911.404993701875</v>
      </c>
      <c r="E40" s="70">
        <f t="shared" si="3"/>
        <v>59615.660743590204</v>
      </c>
      <c r="F40" s="70">
        <f t="shared" si="4"/>
        <v>994400.79050819576</v>
      </c>
      <c r="G40" s="75">
        <f t="shared" ref="G40:I55" si="8">IF(MOD($B40,4)=0,SUM(C37:C40),0)/$F$6*$F$15</f>
        <v>0</v>
      </c>
      <c r="H40" s="75">
        <f t="shared" si="8"/>
        <v>0</v>
      </c>
      <c r="I40" s="75">
        <f t="shared" si="8"/>
        <v>0</v>
      </c>
    </row>
    <row r="41" spans="2:9">
      <c r="B41">
        <f t="shared" si="6"/>
        <v>22</v>
      </c>
      <c r="C41" s="70">
        <f t="shared" si="1"/>
        <v>46315.550170543087</v>
      </c>
      <c r="D41" s="70">
        <f t="shared" si="2"/>
        <v>13300.110573047117</v>
      </c>
      <c r="E41" s="70">
        <f t="shared" si="3"/>
        <v>59615.660743590204</v>
      </c>
      <c r="F41" s="70">
        <f t="shared" si="4"/>
        <v>948085.24033765262</v>
      </c>
      <c r="G41" s="75">
        <f t="shared" si="8"/>
        <v>0</v>
      </c>
      <c r="H41" s="75">
        <f t="shared" si="8"/>
        <v>0</v>
      </c>
      <c r="I41" s="75">
        <f t="shared" si="8"/>
        <v>0</v>
      </c>
    </row>
    <row r="42" spans="2:9">
      <c r="B42">
        <f t="shared" si="6"/>
        <v>23</v>
      </c>
      <c r="C42" s="70">
        <f t="shared" si="1"/>
        <v>46935.020654074098</v>
      </c>
      <c r="D42" s="70">
        <f t="shared" si="2"/>
        <v>12680.640089516104</v>
      </c>
      <c r="E42" s="70">
        <f t="shared" si="3"/>
        <v>59615.660743590204</v>
      </c>
      <c r="F42" s="70">
        <f t="shared" si="4"/>
        <v>901150.21968357847</v>
      </c>
      <c r="G42" s="75">
        <f t="shared" si="8"/>
        <v>0</v>
      </c>
      <c r="H42" s="75">
        <f t="shared" si="8"/>
        <v>0</v>
      </c>
      <c r="I42" s="75">
        <f t="shared" si="8"/>
        <v>0</v>
      </c>
    </row>
    <row r="43" spans="2:9">
      <c r="B43">
        <f t="shared" si="6"/>
        <v>24</v>
      </c>
      <c r="C43" s="70">
        <f t="shared" si="1"/>
        <v>47562.776555322343</v>
      </c>
      <c r="D43" s="70">
        <f t="shared" si="2"/>
        <v>12052.884188267863</v>
      </c>
      <c r="E43" s="70">
        <f t="shared" si="3"/>
        <v>59615.660743590204</v>
      </c>
      <c r="F43" s="70">
        <f t="shared" si="4"/>
        <v>853587.44312825613</v>
      </c>
      <c r="G43" s="75">
        <f t="shared" si="8"/>
        <v>11.944272391096005</v>
      </c>
      <c r="H43" s="75">
        <f t="shared" si="8"/>
        <v>3.3264726484693674</v>
      </c>
      <c r="I43" s="75">
        <f t="shared" si="8"/>
        <v>15.270745039565371</v>
      </c>
    </row>
    <row r="44" spans="2:9">
      <c r="B44">
        <f t="shared" si="6"/>
        <v>25</v>
      </c>
      <c r="C44" s="70">
        <f t="shared" si="1"/>
        <v>48198.928691749781</v>
      </c>
      <c r="D44" s="70">
        <f t="shared" si="2"/>
        <v>11416.732051840425</v>
      </c>
      <c r="E44" s="70">
        <f t="shared" si="3"/>
        <v>59615.660743590204</v>
      </c>
      <c r="F44" s="70">
        <f t="shared" si="4"/>
        <v>805388.51443650632</v>
      </c>
      <c r="G44" s="75">
        <f t="shared" si="8"/>
        <v>0</v>
      </c>
      <c r="H44" s="75">
        <f t="shared" si="8"/>
        <v>0</v>
      </c>
      <c r="I44" s="75">
        <f t="shared" si="8"/>
        <v>0</v>
      </c>
    </row>
    <row r="45" spans="2:9">
      <c r="B45">
        <f t="shared" si="6"/>
        <v>26</v>
      </c>
      <c r="C45" s="70">
        <f t="shared" si="1"/>
        <v>48843.589363001935</v>
      </c>
      <c r="D45" s="70">
        <f t="shared" si="2"/>
        <v>10772.071380588271</v>
      </c>
      <c r="E45" s="70">
        <f t="shared" si="3"/>
        <v>59615.660743590204</v>
      </c>
      <c r="F45" s="70">
        <f t="shared" si="4"/>
        <v>756544.92507350433</v>
      </c>
      <c r="G45" s="75">
        <f t="shared" si="8"/>
        <v>0</v>
      </c>
      <c r="H45" s="75">
        <f t="shared" si="8"/>
        <v>0</v>
      </c>
      <c r="I45" s="75">
        <f t="shared" si="8"/>
        <v>0</v>
      </c>
    </row>
    <row r="46" spans="2:9">
      <c r="B46">
        <f t="shared" si="6"/>
        <v>27</v>
      </c>
      <c r="C46" s="70">
        <f t="shared" si="1"/>
        <v>49496.872370732082</v>
      </c>
      <c r="D46" s="70">
        <f t="shared" si="2"/>
        <v>10118.78837285812</v>
      </c>
      <c r="E46" s="70">
        <f t="shared" si="3"/>
        <v>59615.660743590204</v>
      </c>
      <c r="F46" s="70">
        <f t="shared" si="4"/>
        <v>707048.0527027722</v>
      </c>
      <c r="G46" s="75">
        <f t="shared" si="8"/>
        <v>0</v>
      </c>
      <c r="H46" s="75">
        <f t="shared" si="8"/>
        <v>0</v>
      </c>
      <c r="I46" s="75">
        <f t="shared" si="8"/>
        <v>0</v>
      </c>
    </row>
    <row r="47" spans="2:9">
      <c r="B47">
        <f t="shared" si="6"/>
        <v>28</v>
      </c>
      <c r="C47" s="70">
        <f t="shared" si="1"/>
        <v>50158.893038690629</v>
      </c>
      <c r="D47" s="70">
        <f t="shared" si="2"/>
        <v>9456.7677048995774</v>
      </c>
      <c r="E47" s="70">
        <f t="shared" si="3"/>
        <v>59615.660743590204</v>
      </c>
      <c r="F47" s="70">
        <f t="shared" si="4"/>
        <v>656889.15966408153</v>
      </c>
      <c r="G47" s="75">
        <f t="shared" si="8"/>
        <v>12.5962259708097</v>
      </c>
      <c r="H47" s="75">
        <f t="shared" si="8"/>
        <v>2.6745190687556715</v>
      </c>
      <c r="I47" s="75">
        <f t="shared" si="8"/>
        <v>15.270745039565371</v>
      </c>
    </row>
    <row r="48" spans="2:9">
      <c r="B48">
        <f t="shared" si="6"/>
        <v>29</v>
      </c>
      <c r="C48" s="70">
        <f t="shared" si="1"/>
        <v>50829.768233083116</v>
      </c>
      <c r="D48" s="70">
        <f t="shared" si="2"/>
        <v>8785.8925105070903</v>
      </c>
      <c r="E48" s="70">
        <f t="shared" si="3"/>
        <v>59615.660743590204</v>
      </c>
      <c r="F48" s="70">
        <f t="shared" si="4"/>
        <v>606059.39143099845</v>
      </c>
      <c r="G48" s="75">
        <f t="shared" si="8"/>
        <v>0</v>
      </c>
      <c r="H48" s="75">
        <f t="shared" si="8"/>
        <v>0</v>
      </c>
      <c r="I48" s="75">
        <f t="shared" si="8"/>
        <v>0</v>
      </c>
    </row>
    <row r="49" spans="2:15">
      <c r="B49">
        <f t="shared" si="6"/>
        <v>30</v>
      </c>
      <c r="C49" s="70">
        <f t="shared" si="1"/>
        <v>51509.616383200599</v>
      </c>
      <c r="D49" s="70">
        <f t="shared" si="2"/>
        <v>8106.0443603896038</v>
      </c>
      <c r="E49" s="70">
        <f t="shared" si="3"/>
        <v>59615.660743590204</v>
      </c>
      <c r="F49" s="70">
        <f t="shared" si="4"/>
        <v>554549.77504779783</v>
      </c>
      <c r="G49" s="75">
        <f t="shared" si="8"/>
        <v>0</v>
      </c>
      <c r="H49" s="75">
        <f t="shared" si="8"/>
        <v>0</v>
      </c>
      <c r="I49" s="75">
        <f t="shared" si="8"/>
        <v>0</v>
      </c>
    </row>
    <row r="50" spans="2:15">
      <c r="B50">
        <f t="shared" si="6"/>
        <v>31</v>
      </c>
      <c r="C50" s="70">
        <f t="shared" si="1"/>
        <v>52198.557502325908</v>
      </c>
      <c r="D50" s="70">
        <f t="shared" si="2"/>
        <v>7417.1032412642962</v>
      </c>
      <c r="E50" s="70">
        <f t="shared" si="3"/>
        <v>59615.660743590204</v>
      </c>
      <c r="F50" s="70">
        <f t="shared" si="4"/>
        <v>502351.21754547191</v>
      </c>
      <c r="G50" s="75">
        <f t="shared" si="8"/>
        <v>0</v>
      </c>
      <c r="H50" s="75">
        <f t="shared" si="8"/>
        <v>0</v>
      </c>
      <c r="I50" s="75">
        <f t="shared" si="8"/>
        <v>0</v>
      </c>
    </row>
    <row r="51" spans="2:15">
      <c r="B51">
        <f t="shared" si="6"/>
        <v>32</v>
      </c>
      <c r="C51" s="70">
        <f t="shared" si="1"/>
        <v>52896.713208919515</v>
      </c>
      <c r="D51" s="70">
        <f t="shared" si="2"/>
        <v>6718.9475346706868</v>
      </c>
      <c r="E51" s="70">
        <f t="shared" si="3"/>
        <v>59615.660743590204</v>
      </c>
      <c r="F51" s="70">
        <f t="shared" si="4"/>
        <v>449454.5043365524</v>
      </c>
      <c r="G51" s="75">
        <f t="shared" si="8"/>
        <v>13.283765097820387</v>
      </c>
      <c r="H51" s="75">
        <f t="shared" si="8"/>
        <v>1.9869799417449843</v>
      </c>
      <c r="I51" s="75">
        <f t="shared" si="8"/>
        <v>15.270745039565371</v>
      </c>
    </row>
    <row r="52" spans="2:15">
      <c r="B52">
        <f t="shared" si="6"/>
        <v>33</v>
      </c>
      <c r="C52" s="70">
        <f t="shared" si="1"/>
        <v>53604.206748088814</v>
      </c>
      <c r="D52" s="70">
        <f t="shared" si="2"/>
        <v>6011.4539955013879</v>
      </c>
      <c r="E52" s="70">
        <f t="shared" si="3"/>
        <v>59615.660743590204</v>
      </c>
      <c r="F52" s="70">
        <f t="shared" si="4"/>
        <v>395850.29758846358</v>
      </c>
      <c r="G52" s="75">
        <f t="shared" si="8"/>
        <v>0</v>
      </c>
      <c r="H52" s="75">
        <f t="shared" si="8"/>
        <v>0</v>
      </c>
      <c r="I52" s="75">
        <f t="shared" si="8"/>
        <v>0</v>
      </c>
    </row>
    <row r="53" spans="2:15">
      <c r="B53">
        <f t="shared" si="6"/>
        <v>34</v>
      </c>
      <c r="C53" s="70">
        <f t="shared" si="1"/>
        <v>54321.163013344507</v>
      </c>
      <c r="D53" s="70">
        <f t="shared" si="2"/>
        <v>5294.4977302457</v>
      </c>
      <c r="E53" s="70">
        <f t="shared" si="3"/>
        <v>59615.660743590204</v>
      </c>
      <c r="F53" s="70">
        <f t="shared" si="4"/>
        <v>341529.13457511907</v>
      </c>
      <c r="G53" s="75">
        <f t="shared" si="8"/>
        <v>0</v>
      </c>
      <c r="H53" s="75">
        <f t="shared" si="8"/>
        <v>0</v>
      </c>
      <c r="I53" s="75">
        <f t="shared" si="8"/>
        <v>0</v>
      </c>
    </row>
    <row r="54" spans="2:15">
      <c r="B54">
        <f t="shared" si="6"/>
        <v>35</v>
      </c>
      <c r="C54" s="70">
        <f t="shared" si="1"/>
        <v>55047.708568647984</v>
      </c>
      <c r="D54" s="70">
        <f t="shared" si="2"/>
        <v>4567.9521749422174</v>
      </c>
      <c r="E54" s="70">
        <f t="shared" si="3"/>
        <v>59615.660743590204</v>
      </c>
      <c r="F54" s="70">
        <f t="shared" si="4"/>
        <v>286481.4260064711</v>
      </c>
      <c r="G54" s="75">
        <f t="shared" si="8"/>
        <v>0</v>
      </c>
      <c r="H54" s="75">
        <f t="shared" si="8"/>
        <v>0</v>
      </c>
      <c r="I54" s="75">
        <f t="shared" si="8"/>
        <v>0</v>
      </c>
    </row>
    <row r="55" spans="2:15">
      <c r="B55">
        <f t="shared" si="6"/>
        <v>36</v>
      </c>
      <c r="C55" s="70">
        <f t="shared" si="1"/>
        <v>55783.97167075365</v>
      </c>
      <c r="D55" s="70">
        <f t="shared" si="2"/>
        <v>3831.6890728365511</v>
      </c>
      <c r="E55" s="70">
        <f t="shared" si="3"/>
        <v>59615.660743590204</v>
      </c>
      <c r="F55" s="70">
        <f t="shared" si="4"/>
        <v>230697.45433571746</v>
      </c>
      <c r="G55" s="75">
        <f t="shared" si="8"/>
        <v>14.008832136148804</v>
      </c>
      <c r="H55" s="75">
        <f t="shared" si="8"/>
        <v>1.2619129034165684</v>
      </c>
      <c r="I55" s="75">
        <f t="shared" si="8"/>
        <v>15.270745039565371</v>
      </c>
    </row>
    <row r="56" spans="2:15">
      <c r="B56">
        <f t="shared" si="6"/>
        <v>37</v>
      </c>
      <c r="C56" s="70">
        <f t="shared" si="1"/>
        <v>56530.082291849983</v>
      </c>
      <c r="D56" s="70">
        <f t="shared" si="2"/>
        <v>3085.5784517402208</v>
      </c>
      <c r="E56" s="70">
        <f t="shared" si="3"/>
        <v>59615.660743590204</v>
      </c>
      <c r="F56" s="70">
        <f t="shared" si="4"/>
        <v>174167.37204386748</v>
      </c>
      <c r="G56" s="75">
        <f t="shared" ref="G56:I59" si="9">IF(MOD($B56,4)=0,SUM(C53:C56),0)/$F$6*$F$15</f>
        <v>0</v>
      </c>
      <c r="H56" s="75">
        <f t="shared" si="9"/>
        <v>0</v>
      </c>
      <c r="I56" s="75">
        <f t="shared" si="9"/>
        <v>0</v>
      </c>
    </row>
    <row r="57" spans="2:15">
      <c r="B57">
        <f t="shared" si="6"/>
        <v>38</v>
      </c>
      <c r="C57" s="70">
        <f t="shared" si="1"/>
        <v>57286.172142503478</v>
      </c>
      <c r="D57" s="70">
        <f t="shared" si="2"/>
        <v>2329.4886010867276</v>
      </c>
      <c r="E57" s="70">
        <f t="shared" si="3"/>
        <v>59615.660743590204</v>
      </c>
      <c r="F57" s="70">
        <f t="shared" si="4"/>
        <v>116881.199901364</v>
      </c>
      <c r="G57" s="75">
        <f t="shared" si="9"/>
        <v>0</v>
      </c>
      <c r="H57" s="75">
        <f t="shared" si="9"/>
        <v>0</v>
      </c>
      <c r="I57" s="75">
        <f t="shared" si="9"/>
        <v>0</v>
      </c>
    </row>
    <row r="58" spans="2:15">
      <c r="B58">
        <f t="shared" si="6"/>
        <v>39</v>
      </c>
      <c r="C58" s="70">
        <f t="shared" si="1"/>
        <v>58052.374694909464</v>
      </c>
      <c r="D58" s="70">
        <f t="shared" si="2"/>
        <v>1563.2860486807435</v>
      </c>
      <c r="E58" s="70">
        <f t="shared" si="3"/>
        <v>59615.660743590204</v>
      </c>
      <c r="F58" s="70">
        <f t="shared" si="4"/>
        <v>58828.825206454538</v>
      </c>
      <c r="G58" s="75">
        <f t="shared" si="9"/>
        <v>0</v>
      </c>
      <c r="H58" s="75">
        <f t="shared" si="9"/>
        <v>0</v>
      </c>
      <c r="I58" s="75">
        <f t="shared" si="9"/>
        <v>0</v>
      </c>
    </row>
    <row r="59" spans="2:15">
      <c r="B59">
        <f t="shared" si="6"/>
        <v>40</v>
      </c>
      <c r="C59" s="70">
        <f t="shared" si="1"/>
        <v>58828.825206453876</v>
      </c>
      <c r="D59" s="70">
        <f t="shared" si="2"/>
        <v>786.83553713632944</v>
      </c>
      <c r="E59" s="70">
        <f t="shared" si="3"/>
        <v>59615.660743590204</v>
      </c>
      <c r="F59" s="70">
        <f t="shared" si="4"/>
        <v>6.6211214289069176E-10</v>
      </c>
      <c r="G59" s="75">
        <f t="shared" si="9"/>
        <v>14.77347546976692</v>
      </c>
      <c r="H59" s="75">
        <f t="shared" si="9"/>
        <v>0.49726956979845327</v>
      </c>
      <c r="I59" s="75">
        <f t="shared" si="9"/>
        <v>15.270745039565371</v>
      </c>
    </row>
    <row r="61" spans="2:15">
      <c r="B61" t="s">
        <v>31</v>
      </c>
      <c r="J61" t="s">
        <v>32</v>
      </c>
    </row>
    <row r="62" spans="2:15">
      <c r="B62" s="66" t="s">
        <v>10</v>
      </c>
      <c r="C62" s="66" t="s">
        <v>5</v>
      </c>
      <c r="D62" s="66" t="s">
        <v>13</v>
      </c>
      <c r="E62" s="66"/>
      <c r="F62" s="66"/>
      <c r="G62" s="66" t="s">
        <v>14</v>
      </c>
      <c r="H62" s="66" t="s">
        <v>15</v>
      </c>
      <c r="J62" s="66" t="s">
        <v>10</v>
      </c>
      <c r="K62" s="66" t="s">
        <v>5</v>
      </c>
      <c r="L62" s="66" t="s">
        <v>13</v>
      </c>
      <c r="M62" s="66"/>
      <c r="N62" s="66" t="s">
        <v>14</v>
      </c>
      <c r="O62" s="66" t="s">
        <v>15</v>
      </c>
    </row>
    <row r="63" spans="2:15">
      <c r="B63" s="66"/>
      <c r="C63" s="66"/>
      <c r="D63" s="66" t="s">
        <v>7</v>
      </c>
      <c r="E63" s="66" t="s">
        <v>8</v>
      </c>
      <c r="F63" s="66" t="s">
        <v>9</v>
      </c>
      <c r="G63" s="66"/>
      <c r="H63" s="66"/>
      <c r="J63" s="66"/>
      <c r="K63" s="66"/>
      <c r="L63" s="66" t="s">
        <v>18</v>
      </c>
      <c r="M63" s="66" t="s">
        <v>8</v>
      </c>
      <c r="N63" s="66"/>
      <c r="O63" s="66"/>
    </row>
    <row r="64" spans="2:15">
      <c r="B64" s="66"/>
      <c r="C64" s="66"/>
      <c r="D64" s="66"/>
      <c r="E64" s="66"/>
      <c r="F64" s="66"/>
      <c r="G64" s="66"/>
      <c r="H64" s="66"/>
      <c r="J64" s="66"/>
      <c r="K64" s="66"/>
      <c r="L64" s="66"/>
      <c r="M64" s="66"/>
      <c r="N64" s="66"/>
      <c r="O64" s="66"/>
    </row>
    <row r="65" spans="2:15">
      <c r="B65">
        <v>1</v>
      </c>
      <c r="C65" s="68">
        <f t="shared" ref="C65:C89" si="10">$F$3/$F$6*$F$15</f>
        <v>2.5498822947989752</v>
      </c>
      <c r="D65" s="68">
        <f t="shared" ref="D65:D89" si="11">IF(B65&lt;=10, VLOOKUP($B65*4,$B$18:$I$59,6),0)</f>
        <v>9.1570582846836412</v>
      </c>
      <c r="E65" s="68">
        <f t="shared" ref="E65:E89" si="12">IF(B65&lt;=10, VLOOKUP($B65*4,$B$18:$I$59,7),0)</f>
        <v>6.1136867548817291</v>
      </c>
      <c r="F65" s="68">
        <f>-(PMT($C$14,$B$89,$F$13)*$F$15/$F$6)/0.925</f>
        <v>8.2914130543996087</v>
      </c>
      <c r="G65" s="68">
        <f>SUM(C65:F65)</f>
        <v>26.112040388763955</v>
      </c>
      <c r="H65" s="68">
        <f t="shared" ref="H65:H89" si="13">G65/$F$15*100</f>
        <v>28.382652596482561</v>
      </c>
      <c r="J65">
        <v>1</v>
      </c>
      <c r="K65" s="68">
        <f t="shared" ref="K65:K89" si="14">C65</f>
        <v>2.5498822947989752</v>
      </c>
      <c r="L65" s="68">
        <f t="shared" ref="L65:L89" si="15">D65+F65</f>
        <v>17.448471339083248</v>
      </c>
      <c r="M65" s="68">
        <f t="shared" ref="M65:M89" si="16">E65</f>
        <v>6.1136867548817291</v>
      </c>
      <c r="N65" s="68">
        <f>SUM(K65:M65)</f>
        <v>26.112040388763955</v>
      </c>
      <c r="O65" s="68">
        <f t="shared" ref="O65:O89" si="17">N65/$F$15*100</f>
        <v>28.382652596482561</v>
      </c>
    </row>
    <row r="66" spans="2:15">
      <c r="B66">
        <f>B65+1</f>
        <v>2</v>
      </c>
      <c r="C66" s="68">
        <f t="shared" si="10"/>
        <v>2.5498822947989752</v>
      </c>
      <c r="D66" s="68">
        <f t="shared" si="11"/>
        <v>9.6568775062208907</v>
      </c>
      <c r="E66" s="68">
        <f t="shared" si="12"/>
        <v>5.6138675333444805</v>
      </c>
      <c r="F66" s="68">
        <f t="shared" ref="F66:F89" si="18">-(PMT($C$14,$B$89,$F$13)*$F$15/$F$6)/0.925</f>
        <v>8.2914130543996087</v>
      </c>
      <c r="G66" s="68">
        <f t="shared" ref="G66:G89" si="19">SUM(C66:F66)</f>
        <v>26.112040388763955</v>
      </c>
      <c r="H66" s="68">
        <f t="shared" si="13"/>
        <v>28.382652596482561</v>
      </c>
      <c r="J66">
        <f>J65+1</f>
        <v>2</v>
      </c>
      <c r="K66" s="68">
        <f t="shared" si="14"/>
        <v>2.5498822947989752</v>
      </c>
      <c r="L66" s="68">
        <f t="shared" si="15"/>
        <v>17.948290560620499</v>
      </c>
      <c r="M66" s="68">
        <f t="shared" si="16"/>
        <v>5.6138675333444805</v>
      </c>
      <c r="N66" s="68">
        <f t="shared" ref="N66:N89" si="20">SUM(K66:M66)</f>
        <v>26.112040388763958</v>
      </c>
      <c r="O66" s="68">
        <f t="shared" si="17"/>
        <v>28.382652596482565</v>
      </c>
    </row>
    <row r="67" spans="2:15">
      <c r="B67">
        <f t="shared" ref="B67:B89" si="21">B66+1</f>
        <v>3</v>
      </c>
      <c r="C67" s="68">
        <f t="shared" si="10"/>
        <v>2.5498822947989752</v>
      </c>
      <c r="D67" s="68">
        <f t="shared" si="11"/>
        <v>10.183978333537141</v>
      </c>
      <c r="E67" s="68">
        <f t="shared" si="12"/>
        <v>5.0867667060282296</v>
      </c>
      <c r="F67" s="68">
        <f t="shared" si="18"/>
        <v>8.2914130543996087</v>
      </c>
      <c r="G67" s="68">
        <f t="shared" si="19"/>
        <v>26.112040388763955</v>
      </c>
      <c r="H67" s="68">
        <f t="shared" si="13"/>
        <v>28.382652596482561</v>
      </c>
      <c r="J67">
        <f t="shared" ref="J67:J88" si="22">J66+1</f>
        <v>3</v>
      </c>
      <c r="K67" s="68">
        <f t="shared" si="14"/>
        <v>2.5498822947989752</v>
      </c>
      <c r="L67" s="68">
        <f t="shared" si="15"/>
        <v>18.47539138793675</v>
      </c>
      <c r="M67" s="68">
        <f t="shared" si="16"/>
        <v>5.0867667060282296</v>
      </c>
      <c r="N67" s="68">
        <f t="shared" si="20"/>
        <v>26.112040388763955</v>
      </c>
      <c r="O67" s="68">
        <f t="shared" si="17"/>
        <v>28.382652596482561</v>
      </c>
    </row>
    <row r="68" spans="2:15">
      <c r="B68">
        <f t="shared" si="21"/>
        <v>4</v>
      </c>
      <c r="C68" s="68">
        <f t="shared" si="10"/>
        <v>2.5498822947989752</v>
      </c>
      <c r="D68" s="68">
        <f t="shared" si="11"/>
        <v>10.739849877058345</v>
      </c>
      <c r="E68" s="68">
        <f t="shared" si="12"/>
        <v>4.5308951625070248</v>
      </c>
      <c r="F68" s="68">
        <f t="shared" si="18"/>
        <v>8.2914130543996087</v>
      </c>
      <c r="G68" s="68">
        <f t="shared" si="19"/>
        <v>26.112040388763955</v>
      </c>
      <c r="H68" s="68">
        <f t="shared" si="13"/>
        <v>28.382652596482561</v>
      </c>
      <c r="J68">
        <f t="shared" si="22"/>
        <v>4</v>
      </c>
      <c r="K68" s="68">
        <f t="shared" si="14"/>
        <v>2.5498822947989752</v>
      </c>
      <c r="L68" s="68">
        <f t="shared" si="15"/>
        <v>19.031262931457952</v>
      </c>
      <c r="M68" s="68">
        <f t="shared" si="16"/>
        <v>4.5308951625070248</v>
      </c>
      <c r="N68" s="68">
        <f t="shared" si="20"/>
        <v>26.112040388763955</v>
      </c>
      <c r="O68" s="68">
        <f t="shared" si="17"/>
        <v>28.382652596482561</v>
      </c>
    </row>
    <row r="69" spans="2:15">
      <c r="B69">
        <f t="shared" si="21"/>
        <v>5</v>
      </c>
      <c r="C69" s="68">
        <f t="shared" si="10"/>
        <v>2.5498822947989752</v>
      </c>
      <c r="D69" s="68">
        <f t="shared" si="11"/>
        <v>11.326062527245021</v>
      </c>
      <c r="E69" s="68">
        <f t="shared" si="12"/>
        <v>3.9446825123203522</v>
      </c>
      <c r="F69" s="68">
        <f t="shared" si="18"/>
        <v>8.2914130543996087</v>
      </c>
      <c r="G69" s="68">
        <f t="shared" si="19"/>
        <v>26.112040388763958</v>
      </c>
      <c r="H69" s="68">
        <f t="shared" si="13"/>
        <v>28.382652596482565</v>
      </c>
      <c r="J69">
        <f t="shared" si="22"/>
        <v>5</v>
      </c>
      <c r="K69" s="68">
        <f t="shared" si="14"/>
        <v>2.5498822947989752</v>
      </c>
      <c r="L69" s="68">
        <f t="shared" si="15"/>
        <v>19.61747558164463</v>
      </c>
      <c r="M69" s="68">
        <f t="shared" si="16"/>
        <v>3.9446825123203522</v>
      </c>
      <c r="N69" s="68">
        <f t="shared" si="20"/>
        <v>26.112040388763958</v>
      </c>
      <c r="O69" s="68">
        <f t="shared" si="17"/>
        <v>28.382652596482565</v>
      </c>
    </row>
    <row r="70" spans="2:15">
      <c r="B70">
        <f t="shared" si="21"/>
        <v>6</v>
      </c>
      <c r="C70" s="68">
        <f t="shared" si="10"/>
        <v>2.5498822947989752</v>
      </c>
      <c r="D70" s="68">
        <f t="shared" si="11"/>
        <v>11.944272391096005</v>
      </c>
      <c r="E70" s="68">
        <f t="shared" si="12"/>
        <v>3.3264726484693674</v>
      </c>
      <c r="F70" s="68">
        <f t="shared" si="18"/>
        <v>8.2914130543996087</v>
      </c>
      <c r="G70" s="68">
        <f t="shared" si="19"/>
        <v>26.112040388763955</v>
      </c>
      <c r="H70" s="68">
        <f t="shared" si="13"/>
        <v>28.382652596482561</v>
      </c>
      <c r="J70">
        <f t="shared" si="22"/>
        <v>6</v>
      </c>
      <c r="K70" s="68">
        <f t="shared" si="14"/>
        <v>2.5498822947989752</v>
      </c>
      <c r="L70" s="68">
        <f t="shared" si="15"/>
        <v>20.235685445495612</v>
      </c>
      <c r="M70" s="68">
        <f t="shared" si="16"/>
        <v>3.3264726484693674</v>
      </c>
      <c r="N70" s="68">
        <f t="shared" si="20"/>
        <v>26.112040388763955</v>
      </c>
      <c r="O70" s="68">
        <f t="shared" si="17"/>
        <v>28.382652596482561</v>
      </c>
    </row>
    <row r="71" spans="2:15">
      <c r="B71">
        <f t="shared" si="21"/>
        <v>7</v>
      </c>
      <c r="C71" s="68">
        <f t="shared" si="10"/>
        <v>2.5498822947989752</v>
      </c>
      <c r="D71" s="68">
        <f t="shared" si="11"/>
        <v>12.5962259708097</v>
      </c>
      <c r="E71" s="68">
        <f t="shared" si="12"/>
        <v>2.6745190687556715</v>
      </c>
      <c r="F71" s="68">
        <f t="shared" si="18"/>
        <v>8.2914130543996087</v>
      </c>
      <c r="G71" s="68">
        <f t="shared" si="19"/>
        <v>26.112040388763955</v>
      </c>
      <c r="H71" s="68">
        <f t="shared" si="13"/>
        <v>28.382652596482561</v>
      </c>
      <c r="J71">
        <f t="shared" si="22"/>
        <v>7</v>
      </c>
      <c r="K71" s="68">
        <f t="shared" si="14"/>
        <v>2.5498822947989752</v>
      </c>
      <c r="L71" s="68">
        <f t="shared" si="15"/>
        <v>20.88763902520931</v>
      </c>
      <c r="M71" s="68">
        <f t="shared" si="16"/>
        <v>2.6745190687556715</v>
      </c>
      <c r="N71" s="68">
        <f t="shared" si="20"/>
        <v>26.112040388763958</v>
      </c>
      <c r="O71" s="68">
        <f t="shared" si="17"/>
        <v>28.382652596482565</v>
      </c>
    </row>
    <row r="72" spans="2:15">
      <c r="B72">
        <f t="shared" si="21"/>
        <v>8</v>
      </c>
      <c r="C72" s="68">
        <f t="shared" si="10"/>
        <v>2.5498822947989752</v>
      </c>
      <c r="D72" s="68">
        <f t="shared" si="11"/>
        <v>13.283765097820387</v>
      </c>
      <c r="E72" s="68">
        <f t="shared" si="12"/>
        <v>1.9869799417449843</v>
      </c>
      <c r="F72" s="68">
        <f t="shared" si="18"/>
        <v>8.2914130543996087</v>
      </c>
      <c r="G72" s="68">
        <f t="shared" si="19"/>
        <v>26.112040388763955</v>
      </c>
      <c r="H72" s="68">
        <f t="shared" si="13"/>
        <v>28.382652596482561</v>
      </c>
      <c r="J72">
        <f t="shared" si="22"/>
        <v>8</v>
      </c>
      <c r="K72" s="68">
        <f t="shared" si="14"/>
        <v>2.5498822947989752</v>
      </c>
      <c r="L72" s="68">
        <f t="shared" si="15"/>
        <v>21.575178152219998</v>
      </c>
      <c r="M72" s="68">
        <f t="shared" si="16"/>
        <v>1.9869799417449843</v>
      </c>
      <c r="N72" s="68">
        <f t="shared" si="20"/>
        <v>26.112040388763958</v>
      </c>
      <c r="O72" s="68">
        <f t="shared" si="17"/>
        <v>28.382652596482565</v>
      </c>
    </row>
    <row r="73" spans="2:15">
      <c r="B73">
        <f t="shared" si="21"/>
        <v>9</v>
      </c>
      <c r="C73" s="68">
        <f t="shared" si="10"/>
        <v>2.5498822947989752</v>
      </c>
      <c r="D73" s="68">
        <f t="shared" si="11"/>
        <v>14.008832136148804</v>
      </c>
      <c r="E73" s="68">
        <f t="shared" si="12"/>
        <v>1.2619129034165684</v>
      </c>
      <c r="F73" s="68">
        <f t="shared" si="18"/>
        <v>8.2914130543996087</v>
      </c>
      <c r="G73" s="68">
        <f t="shared" si="19"/>
        <v>26.112040388763958</v>
      </c>
      <c r="H73" s="68">
        <f t="shared" si="13"/>
        <v>28.382652596482565</v>
      </c>
      <c r="J73">
        <f t="shared" si="22"/>
        <v>9</v>
      </c>
      <c r="K73" s="68">
        <f t="shared" si="14"/>
        <v>2.5498822947989752</v>
      </c>
      <c r="L73" s="68">
        <f t="shared" si="15"/>
        <v>22.300245190548413</v>
      </c>
      <c r="M73" s="68">
        <f t="shared" si="16"/>
        <v>1.2619129034165684</v>
      </c>
      <c r="N73" s="68">
        <f t="shared" si="20"/>
        <v>26.112040388763958</v>
      </c>
      <c r="O73" s="68">
        <f t="shared" si="17"/>
        <v>28.382652596482565</v>
      </c>
    </row>
    <row r="74" spans="2:15">
      <c r="B74">
        <f t="shared" si="21"/>
        <v>10</v>
      </c>
      <c r="C74" s="68">
        <f t="shared" si="10"/>
        <v>2.5498822947989752</v>
      </c>
      <c r="D74" s="68">
        <f t="shared" si="11"/>
        <v>14.77347546976692</v>
      </c>
      <c r="E74" s="68">
        <f t="shared" si="12"/>
        <v>0.49726956979845327</v>
      </c>
      <c r="F74" s="68">
        <f t="shared" si="18"/>
        <v>8.2914130543996087</v>
      </c>
      <c r="G74" s="68">
        <f t="shared" si="19"/>
        <v>26.112040388763958</v>
      </c>
      <c r="H74" s="68">
        <f t="shared" si="13"/>
        <v>28.382652596482565</v>
      </c>
      <c r="J74">
        <f t="shared" si="22"/>
        <v>10</v>
      </c>
      <c r="K74" s="68">
        <f t="shared" si="14"/>
        <v>2.5498822947989752</v>
      </c>
      <c r="L74" s="68">
        <f t="shared" si="15"/>
        <v>23.064888524166527</v>
      </c>
      <c r="M74" s="68">
        <f t="shared" si="16"/>
        <v>0.49726956979845327</v>
      </c>
      <c r="N74" s="68">
        <f t="shared" si="20"/>
        <v>26.112040388763958</v>
      </c>
      <c r="O74" s="68">
        <f t="shared" si="17"/>
        <v>28.382652596482565</v>
      </c>
    </row>
    <row r="75" spans="2:15">
      <c r="B75">
        <f t="shared" si="21"/>
        <v>11</v>
      </c>
      <c r="C75" s="68">
        <f t="shared" si="10"/>
        <v>2.5498822947989752</v>
      </c>
      <c r="D75" s="68">
        <f t="shared" si="11"/>
        <v>0</v>
      </c>
      <c r="E75" s="68">
        <f t="shared" si="12"/>
        <v>0</v>
      </c>
      <c r="F75" s="68">
        <f t="shared" si="18"/>
        <v>8.2914130543996087</v>
      </c>
      <c r="G75" s="68">
        <f t="shared" si="19"/>
        <v>10.841295349198584</v>
      </c>
      <c r="H75" s="68">
        <f t="shared" si="13"/>
        <v>11.784016683911505</v>
      </c>
      <c r="J75">
        <f t="shared" si="22"/>
        <v>11</v>
      </c>
      <c r="K75" s="68">
        <f t="shared" si="14"/>
        <v>2.5498822947989752</v>
      </c>
      <c r="L75" s="68">
        <f t="shared" si="15"/>
        <v>8.2914130543996087</v>
      </c>
      <c r="M75" s="68">
        <f t="shared" si="16"/>
        <v>0</v>
      </c>
      <c r="N75" s="68">
        <f t="shared" si="20"/>
        <v>10.841295349198584</v>
      </c>
      <c r="O75" s="68">
        <f t="shared" si="17"/>
        <v>11.784016683911505</v>
      </c>
    </row>
    <row r="76" spans="2:15">
      <c r="B76">
        <f t="shared" si="21"/>
        <v>12</v>
      </c>
      <c r="C76" s="68">
        <f t="shared" si="10"/>
        <v>2.5498822947989752</v>
      </c>
      <c r="D76" s="68">
        <f t="shared" si="11"/>
        <v>0</v>
      </c>
      <c r="E76" s="68">
        <f t="shared" si="12"/>
        <v>0</v>
      </c>
      <c r="F76" s="68">
        <f t="shared" si="18"/>
        <v>8.2914130543996087</v>
      </c>
      <c r="G76" s="68">
        <f t="shared" si="19"/>
        <v>10.841295349198584</v>
      </c>
      <c r="H76" s="68">
        <f t="shared" si="13"/>
        <v>11.784016683911505</v>
      </c>
      <c r="J76">
        <f t="shared" si="22"/>
        <v>12</v>
      </c>
      <c r="K76" s="68">
        <f t="shared" si="14"/>
        <v>2.5498822947989752</v>
      </c>
      <c r="L76" s="68">
        <f t="shared" si="15"/>
        <v>8.2914130543996087</v>
      </c>
      <c r="M76" s="68">
        <f t="shared" si="16"/>
        <v>0</v>
      </c>
      <c r="N76" s="68">
        <f t="shared" si="20"/>
        <v>10.841295349198584</v>
      </c>
      <c r="O76" s="68">
        <f t="shared" si="17"/>
        <v>11.784016683911505</v>
      </c>
    </row>
    <row r="77" spans="2:15">
      <c r="B77">
        <f t="shared" si="21"/>
        <v>13</v>
      </c>
      <c r="C77" s="68">
        <f t="shared" si="10"/>
        <v>2.5498822947989752</v>
      </c>
      <c r="D77" s="68">
        <f t="shared" si="11"/>
        <v>0</v>
      </c>
      <c r="E77" s="68">
        <f t="shared" si="12"/>
        <v>0</v>
      </c>
      <c r="F77" s="68">
        <f t="shared" si="18"/>
        <v>8.2914130543996087</v>
      </c>
      <c r="G77" s="68">
        <f t="shared" si="19"/>
        <v>10.841295349198584</v>
      </c>
      <c r="H77" s="68">
        <f t="shared" si="13"/>
        <v>11.784016683911505</v>
      </c>
      <c r="J77">
        <f t="shared" si="22"/>
        <v>13</v>
      </c>
      <c r="K77" s="68">
        <f t="shared" si="14"/>
        <v>2.5498822947989752</v>
      </c>
      <c r="L77" s="68">
        <f t="shared" si="15"/>
        <v>8.2914130543996087</v>
      </c>
      <c r="M77" s="68">
        <f t="shared" si="16"/>
        <v>0</v>
      </c>
      <c r="N77" s="68">
        <f t="shared" si="20"/>
        <v>10.841295349198584</v>
      </c>
      <c r="O77" s="68">
        <f t="shared" si="17"/>
        <v>11.784016683911505</v>
      </c>
    </row>
    <row r="78" spans="2:15">
      <c r="B78">
        <f t="shared" si="21"/>
        <v>14</v>
      </c>
      <c r="C78" s="68">
        <f t="shared" si="10"/>
        <v>2.5498822947989752</v>
      </c>
      <c r="D78" s="68">
        <f t="shared" si="11"/>
        <v>0</v>
      </c>
      <c r="E78" s="68">
        <f t="shared" si="12"/>
        <v>0</v>
      </c>
      <c r="F78" s="68">
        <f t="shared" si="18"/>
        <v>8.2914130543996087</v>
      </c>
      <c r="G78" s="68">
        <f t="shared" si="19"/>
        <v>10.841295349198584</v>
      </c>
      <c r="H78" s="68">
        <f t="shared" si="13"/>
        <v>11.784016683911505</v>
      </c>
      <c r="J78">
        <f t="shared" si="22"/>
        <v>14</v>
      </c>
      <c r="K78" s="68">
        <f t="shared" si="14"/>
        <v>2.5498822947989752</v>
      </c>
      <c r="L78" s="68">
        <f t="shared" si="15"/>
        <v>8.2914130543996087</v>
      </c>
      <c r="M78" s="68">
        <f t="shared" si="16"/>
        <v>0</v>
      </c>
      <c r="N78" s="68">
        <f t="shared" si="20"/>
        <v>10.841295349198584</v>
      </c>
      <c r="O78" s="68">
        <f t="shared" si="17"/>
        <v>11.784016683911505</v>
      </c>
    </row>
    <row r="79" spans="2:15">
      <c r="B79">
        <f t="shared" si="21"/>
        <v>15</v>
      </c>
      <c r="C79" s="68">
        <f t="shared" si="10"/>
        <v>2.5498822947989752</v>
      </c>
      <c r="D79" s="68">
        <f t="shared" si="11"/>
        <v>0</v>
      </c>
      <c r="E79" s="68">
        <f t="shared" si="12"/>
        <v>0</v>
      </c>
      <c r="F79" s="68">
        <f t="shared" si="18"/>
        <v>8.2914130543996087</v>
      </c>
      <c r="G79" s="68">
        <f t="shared" si="19"/>
        <v>10.841295349198584</v>
      </c>
      <c r="H79" s="68">
        <f t="shared" si="13"/>
        <v>11.784016683911505</v>
      </c>
      <c r="J79">
        <f t="shared" si="22"/>
        <v>15</v>
      </c>
      <c r="K79" s="68">
        <f t="shared" si="14"/>
        <v>2.5498822947989752</v>
      </c>
      <c r="L79" s="68">
        <f t="shared" si="15"/>
        <v>8.2914130543996087</v>
      </c>
      <c r="M79" s="68">
        <f t="shared" si="16"/>
        <v>0</v>
      </c>
      <c r="N79" s="68">
        <f t="shared" si="20"/>
        <v>10.841295349198584</v>
      </c>
      <c r="O79" s="68">
        <f t="shared" si="17"/>
        <v>11.784016683911505</v>
      </c>
    </row>
    <row r="80" spans="2:15">
      <c r="B80">
        <f t="shared" si="21"/>
        <v>16</v>
      </c>
      <c r="C80" s="68">
        <f t="shared" si="10"/>
        <v>2.5498822947989752</v>
      </c>
      <c r="D80" s="68">
        <f t="shared" si="11"/>
        <v>0</v>
      </c>
      <c r="E80" s="68">
        <f t="shared" si="12"/>
        <v>0</v>
      </c>
      <c r="F80" s="68">
        <f t="shared" si="18"/>
        <v>8.2914130543996087</v>
      </c>
      <c r="G80" s="68">
        <f t="shared" si="19"/>
        <v>10.841295349198584</v>
      </c>
      <c r="H80" s="68">
        <f t="shared" si="13"/>
        <v>11.784016683911505</v>
      </c>
      <c r="J80">
        <f t="shared" si="22"/>
        <v>16</v>
      </c>
      <c r="K80" s="68">
        <f t="shared" si="14"/>
        <v>2.5498822947989752</v>
      </c>
      <c r="L80" s="68">
        <f t="shared" si="15"/>
        <v>8.2914130543996087</v>
      </c>
      <c r="M80" s="68">
        <f t="shared" si="16"/>
        <v>0</v>
      </c>
      <c r="N80" s="68">
        <f t="shared" si="20"/>
        <v>10.841295349198584</v>
      </c>
      <c r="O80" s="68">
        <f t="shared" si="17"/>
        <v>11.784016683911505</v>
      </c>
    </row>
    <row r="81" spans="2:15">
      <c r="B81">
        <f t="shared" si="21"/>
        <v>17</v>
      </c>
      <c r="C81" s="68">
        <f t="shared" si="10"/>
        <v>2.5498822947989752</v>
      </c>
      <c r="D81" s="68">
        <f t="shared" si="11"/>
        <v>0</v>
      </c>
      <c r="E81" s="68">
        <f t="shared" si="12"/>
        <v>0</v>
      </c>
      <c r="F81" s="68">
        <f t="shared" si="18"/>
        <v>8.2914130543996087</v>
      </c>
      <c r="G81" s="68">
        <f t="shared" si="19"/>
        <v>10.841295349198584</v>
      </c>
      <c r="H81" s="68">
        <f t="shared" si="13"/>
        <v>11.784016683911505</v>
      </c>
      <c r="J81">
        <f t="shared" si="22"/>
        <v>17</v>
      </c>
      <c r="K81" s="68">
        <f t="shared" si="14"/>
        <v>2.5498822947989752</v>
      </c>
      <c r="L81" s="68">
        <f t="shared" si="15"/>
        <v>8.2914130543996087</v>
      </c>
      <c r="M81" s="68">
        <f t="shared" si="16"/>
        <v>0</v>
      </c>
      <c r="N81" s="68">
        <f t="shared" si="20"/>
        <v>10.841295349198584</v>
      </c>
      <c r="O81" s="68">
        <f t="shared" si="17"/>
        <v>11.784016683911505</v>
      </c>
    </row>
    <row r="82" spans="2:15">
      <c r="B82">
        <f t="shared" si="21"/>
        <v>18</v>
      </c>
      <c r="C82" s="68">
        <f t="shared" si="10"/>
        <v>2.5498822947989752</v>
      </c>
      <c r="D82" s="68">
        <f t="shared" si="11"/>
        <v>0</v>
      </c>
      <c r="E82" s="68">
        <f t="shared" si="12"/>
        <v>0</v>
      </c>
      <c r="F82" s="68">
        <f t="shared" si="18"/>
        <v>8.2914130543996087</v>
      </c>
      <c r="G82" s="68">
        <f t="shared" si="19"/>
        <v>10.841295349198584</v>
      </c>
      <c r="H82" s="68">
        <f t="shared" si="13"/>
        <v>11.784016683911505</v>
      </c>
      <c r="J82">
        <f t="shared" si="22"/>
        <v>18</v>
      </c>
      <c r="K82" s="68">
        <f t="shared" si="14"/>
        <v>2.5498822947989752</v>
      </c>
      <c r="L82" s="68">
        <f t="shared" si="15"/>
        <v>8.2914130543996087</v>
      </c>
      <c r="M82" s="68">
        <f t="shared" si="16"/>
        <v>0</v>
      </c>
      <c r="N82" s="68">
        <f t="shared" si="20"/>
        <v>10.841295349198584</v>
      </c>
      <c r="O82" s="68">
        <f t="shared" si="17"/>
        <v>11.784016683911505</v>
      </c>
    </row>
    <row r="83" spans="2:15">
      <c r="B83">
        <f t="shared" si="21"/>
        <v>19</v>
      </c>
      <c r="C83" s="68">
        <f t="shared" si="10"/>
        <v>2.5498822947989752</v>
      </c>
      <c r="D83" s="68">
        <f t="shared" si="11"/>
        <v>0</v>
      </c>
      <c r="E83" s="68">
        <f t="shared" si="12"/>
        <v>0</v>
      </c>
      <c r="F83" s="68">
        <f t="shared" si="18"/>
        <v>8.2914130543996087</v>
      </c>
      <c r="G83" s="68">
        <f t="shared" si="19"/>
        <v>10.841295349198584</v>
      </c>
      <c r="H83" s="68">
        <f t="shared" si="13"/>
        <v>11.784016683911505</v>
      </c>
      <c r="J83">
        <f t="shared" si="22"/>
        <v>19</v>
      </c>
      <c r="K83" s="68">
        <f t="shared" si="14"/>
        <v>2.5498822947989752</v>
      </c>
      <c r="L83" s="68">
        <f t="shared" si="15"/>
        <v>8.2914130543996087</v>
      </c>
      <c r="M83" s="68">
        <f t="shared" si="16"/>
        <v>0</v>
      </c>
      <c r="N83" s="68">
        <f t="shared" si="20"/>
        <v>10.841295349198584</v>
      </c>
      <c r="O83" s="68">
        <f t="shared" si="17"/>
        <v>11.784016683911505</v>
      </c>
    </row>
    <row r="84" spans="2:15">
      <c r="B84">
        <f t="shared" si="21"/>
        <v>20</v>
      </c>
      <c r="C84" s="68">
        <f t="shared" si="10"/>
        <v>2.5498822947989752</v>
      </c>
      <c r="D84" s="68">
        <f t="shared" si="11"/>
        <v>0</v>
      </c>
      <c r="E84" s="68">
        <f t="shared" si="12"/>
        <v>0</v>
      </c>
      <c r="F84" s="68">
        <f t="shared" si="18"/>
        <v>8.2914130543996087</v>
      </c>
      <c r="G84" s="68">
        <f t="shared" si="19"/>
        <v>10.841295349198584</v>
      </c>
      <c r="H84" s="68">
        <f t="shared" si="13"/>
        <v>11.784016683911505</v>
      </c>
      <c r="J84">
        <f t="shared" si="22"/>
        <v>20</v>
      </c>
      <c r="K84" s="68">
        <f t="shared" si="14"/>
        <v>2.5498822947989752</v>
      </c>
      <c r="L84" s="68">
        <f t="shared" si="15"/>
        <v>8.2914130543996087</v>
      </c>
      <c r="M84" s="68">
        <f t="shared" si="16"/>
        <v>0</v>
      </c>
      <c r="N84" s="68">
        <f t="shared" si="20"/>
        <v>10.841295349198584</v>
      </c>
      <c r="O84" s="68">
        <f t="shared" si="17"/>
        <v>11.784016683911505</v>
      </c>
    </row>
    <row r="85" spans="2:15">
      <c r="B85">
        <f t="shared" si="21"/>
        <v>21</v>
      </c>
      <c r="C85" s="68">
        <f t="shared" si="10"/>
        <v>2.5498822947989752</v>
      </c>
      <c r="D85" s="68">
        <f t="shared" si="11"/>
        <v>0</v>
      </c>
      <c r="E85" s="68">
        <f t="shared" si="12"/>
        <v>0</v>
      </c>
      <c r="F85" s="68">
        <f t="shared" si="18"/>
        <v>8.2914130543996087</v>
      </c>
      <c r="G85" s="68">
        <f t="shared" si="19"/>
        <v>10.841295349198584</v>
      </c>
      <c r="H85" s="68">
        <f t="shared" si="13"/>
        <v>11.784016683911505</v>
      </c>
      <c r="J85">
        <f t="shared" si="22"/>
        <v>21</v>
      </c>
      <c r="K85" s="68">
        <f t="shared" si="14"/>
        <v>2.5498822947989752</v>
      </c>
      <c r="L85" s="68">
        <f t="shared" si="15"/>
        <v>8.2914130543996087</v>
      </c>
      <c r="M85" s="68">
        <f t="shared" si="16"/>
        <v>0</v>
      </c>
      <c r="N85" s="68">
        <f t="shared" si="20"/>
        <v>10.841295349198584</v>
      </c>
      <c r="O85" s="68">
        <f t="shared" si="17"/>
        <v>11.784016683911505</v>
      </c>
    </row>
    <row r="86" spans="2:15">
      <c r="B86">
        <f t="shared" si="21"/>
        <v>22</v>
      </c>
      <c r="C86" s="68">
        <f t="shared" si="10"/>
        <v>2.5498822947989752</v>
      </c>
      <c r="D86" s="68">
        <f t="shared" si="11"/>
        <v>0</v>
      </c>
      <c r="E86" s="68">
        <f t="shared" si="12"/>
        <v>0</v>
      </c>
      <c r="F86" s="68">
        <f t="shared" si="18"/>
        <v>8.2914130543996087</v>
      </c>
      <c r="G86" s="68">
        <f t="shared" si="19"/>
        <v>10.841295349198584</v>
      </c>
      <c r="H86" s="68">
        <f t="shared" si="13"/>
        <v>11.784016683911505</v>
      </c>
      <c r="J86">
        <f t="shared" si="22"/>
        <v>22</v>
      </c>
      <c r="K86" s="68">
        <f t="shared" si="14"/>
        <v>2.5498822947989752</v>
      </c>
      <c r="L86" s="68">
        <f t="shared" si="15"/>
        <v>8.2914130543996087</v>
      </c>
      <c r="M86" s="68">
        <f t="shared" si="16"/>
        <v>0</v>
      </c>
      <c r="N86" s="68">
        <f t="shared" si="20"/>
        <v>10.841295349198584</v>
      </c>
      <c r="O86" s="68">
        <f t="shared" si="17"/>
        <v>11.784016683911505</v>
      </c>
    </row>
    <row r="87" spans="2:15">
      <c r="B87">
        <f t="shared" si="21"/>
        <v>23</v>
      </c>
      <c r="C87" s="68">
        <f t="shared" si="10"/>
        <v>2.5498822947989752</v>
      </c>
      <c r="D87" s="68">
        <f t="shared" si="11"/>
        <v>0</v>
      </c>
      <c r="E87" s="68">
        <f t="shared" si="12"/>
        <v>0</v>
      </c>
      <c r="F87" s="68">
        <f t="shared" si="18"/>
        <v>8.2914130543996087</v>
      </c>
      <c r="G87" s="68">
        <f t="shared" si="19"/>
        <v>10.841295349198584</v>
      </c>
      <c r="H87" s="68">
        <f t="shared" si="13"/>
        <v>11.784016683911505</v>
      </c>
      <c r="J87">
        <f t="shared" si="22"/>
        <v>23</v>
      </c>
      <c r="K87" s="68">
        <f t="shared" si="14"/>
        <v>2.5498822947989752</v>
      </c>
      <c r="L87" s="68">
        <f t="shared" si="15"/>
        <v>8.2914130543996087</v>
      </c>
      <c r="M87" s="68">
        <f t="shared" si="16"/>
        <v>0</v>
      </c>
      <c r="N87" s="68">
        <f t="shared" si="20"/>
        <v>10.841295349198584</v>
      </c>
      <c r="O87" s="68">
        <f t="shared" si="17"/>
        <v>11.784016683911505</v>
      </c>
    </row>
    <row r="88" spans="2:15">
      <c r="B88">
        <f t="shared" si="21"/>
        <v>24</v>
      </c>
      <c r="C88" s="68">
        <f t="shared" si="10"/>
        <v>2.5498822947989752</v>
      </c>
      <c r="D88" s="68">
        <f t="shared" si="11"/>
        <v>0</v>
      </c>
      <c r="E88" s="68">
        <f t="shared" si="12"/>
        <v>0</v>
      </c>
      <c r="F88" s="68">
        <f t="shared" si="18"/>
        <v>8.2914130543996087</v>
      </c>
      <c r="G88" s="68">
        <f t="shared" si="19"/>
        <v>10.841295349198584</v>
      </c>
      <c r="H88" s="68">
        <f t="shared" si="13"/>
        <v>11.784016683911505</v>
      </c>
      <c r="J88">
        <f t="shared" si="22"/>
        <v>24</v>
      </c>
      <c r="K88" s="68">
        <f t="shared" si="14"/>
        <v>2.5498822947989752</v>
      </c>
      <c r="L88" s="68">
        <f t="shared" si="15"/>
        <v>8.2914130543996087</v>
      </c>
      <c r="M88" s="68">
        <f t="shared" si="16"/>
        <v>0</v>
      </c>
      <c r="N88" s="68">
        <f t="shared" si="20"/>
        <v>10.841295349198584</v>
      </c>
      <c r="O88" s="68">
        <f t="shared" si="17"/>
        <v>11.784016683911505</v>
      </c>
    </row>
    <row r="89" spans="2:15">
      <c r="B89">
        <f t="shared" si="21"/>
        <v>25</v>
      </c>
      <c r="C89" s="68">
        <f t="shared" si="10"/>
        <v>2.5498822947989752</v>
      </c>
      <c r="D89" s="68">
        <f t="shared" si="11"/>
        <v>0</v>
      </c>
      <c r="E89" s="68">
        <f t="shared" si="12"/>
        <v>0</v>
      </c>
      <c r="F89" s="68">
        <f t="shared" si="18"/>
        <v>8.2914130543996087</v>
      </c>
      <c r="G89" s="68">
        <f t="shared" si="19"/>
        <v>10.841295349198584</v>
      </c>
      <c r="H89" s="68">
        <f t="shared" si="13"/>
        <v>11.784016683911505</v>
      </c>
      <c r="J89">
        <v>25</v>
      </c>
      <c r="K89" s="68">
        <f t="shared" si="14"/>
        <v>2.5498822947989752</v>
      </c>
      <c r="L89" s="68">
        <f t="shared" si="15"/>
        <v>8.2914130543996087</v>
      </c>
      <c r="M89" s="68">
        <f t="shared" si="16"/>
        <v>0</v>
      </c>
      <c r="N89" s="68">
        <f t="shared" si="20"/>
        <v>10.841295349198584</v>
      </c>
      <c r="O89" s="68">
        <f t="shared" si="17"/>
        <v>11.784016683911505</v>
      </c>
    </row>
    <row r="90" spans="2:15">
      <c r="B90" t="s">
        <v>16</v>
      </c>
      <c r="G90" s="83">
        <f>-PMT(10%,20,NPV(10%,G65:G89))</f>
        <v>22.580319559678738</v>
      </c>
      <c r="H90" s="83">
        <f>-PMT(10%,20,NPV(10%,H65:H89))</f>
        <v>24.543825608346459</v>
      </c>
      <c r="J90" t="s">
        <v>16</v>
      </c>
      <c r="N90" s="74">
        <f>-PMT(10%,20,NPV(10%,N65:N89))</f>
        <v>22.580319559678738</v>
      </c>
      <c r="O90" s="74">
        <f>-PMT(10%,20,NPV(10%,O65:O89))</f>
        <v>24.543825608346463</v>
      </c>
    </row>
    <row r="92" spans="2:15">
      <c r="F92" s="68">
        <f t="shared" ref="F92:F110" si="23">D65+F65</f>
        <v>17.448471339083248</v>
      </c>
    </row>
    <row r="93" spans="2:15">
      <c r="F93" s="68">
        <f t="shared" si="23"/>
        <v>17.948290560620499</v>
      </c>
    </row>
    <row r="94" spans="2:15">
      <c r="F94" s="68">
        <f t="shared" si="23"/>
        <v>18.47539138793675</v>
      </c>
    </row>
    <row r="95" spans="2:15">
      <c r="F95" s="68">
        <f t="shared" si="23"/>
        <v>19.031262931457952</v>
      </c>
    </row>
    <row r="96" spans="2:15">
      <c r="F96" s="68">
        <f t="shared" si="23"/>
        <v>19.61747558164463</v>
      </c>
    </row>
    <row r="97" spans="6:9">
      <c r="F97" s="68">
        <f t="shared" si="23"/>
        <v>20.235685445495612</v>
      </c>
    </row>
    <row r="98" spans="6:9">
      <c r="F98" s="68">
        <f t="shared" si="23"/>
        <v>20.88763902520931</v>
      </c>
    </row>
    <row r="99" spans="6:9">
      <c r="F99" s="68">
        <f t="shared" si="23"/>
        <v>21.575178152219998</v>
      </c>
      <c r="I99" s="78">
        <f>15835/8760/11.52</f>
        <v>0.15691392376966007</v>
      </c>
    </row>
    <row r="100" spans="6:9">
      <c r="F100" s="68">
        <f t="shared" si="23"/>
        <v>22.300245190548413</v>
      </c>
    </row>
    <row r="101" spans="6:9">
      <c r="F101" s="68">
        <f t="shared" si="23"/>
        <v>23.064888524166527</v>
      </c>
    </row>
    <row r="102" spans="6:9">
      <c r="F102" s="68">
        <f t="shared" si="23"/>
        <v>8.2914130543996087</v>
      </c>
    </row>
    <row r="103" spans="6:9">
      <c r="F103" s="68">
        <f t="shared" si="23"/>
        <v>8.2914130543996087</v>
      </c>
    </row>
    <row r="104" spans="6:9">
      <c r="F104" s="68">
        <f t="shared" si="23"/>
        <v>8.2914130543996087</v>
      </c>
    </row>
    <row r="105" spans="6:9">
      <c r="F105" s="68">
        <f t="shared" si="23"/>
        <v>8.2914130543996087</v>
      </c>
    </row>
    <row r="106" spans="6:9">
      <c r="F106" s="68">
        <f t="shared" si="23"/>
        <v>8.2914130543996087</v>
      </c>
    </row>
    <row r="107" spans="6:9">
      <c r="F107" s="68">
        <f t="shared" si="23"/>
        <v>8.2914130543996087</v>
      </c>
    </row>
    <row r="108" spans="6:9">
      <c r="F108" s="68">
        <f t="shared" si="23"/>
        <v>8.2914130543996087</v>
      </c>
    </row>
    <row r="109" spans="6:9">
      <c r="F109" s="68">
        <f t="shared" si="23"/>
        <v>8.2914130543996087</v>
      </c>
    </row>
    <row r="110" spans="6:9">
      <c r="F110" s="68">
        <f t="shared" si="23"/>
        <v>8.2914130543996087</v>
      </c>
    </row>
    <row r="111" spans="6:9">
      <c r="F111" s="68">
        <f t="shared" ref="F111" si="24">D89+F89</f>
        <v>8.2914130543996087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1"/>
  <sheetViews>
    <sheetView workbookViewId="0">
      <selection activeCell="I3" sqref="I3"/>
    </sheetView>
  </sheetViews>
  <sheetFormatPr baseColWidth="10" defaultColWidth="8.83203125" defaultRowHeight="15" x14ac:dyDescent="0"/>
  <cols>
    <col min="2" max="2" width="34.5" bestFit="1" customWidth="1"/>
    <col min="3" max="3" width="12.6640625" bestFit="1" customWidth="1"/>
    <col min="4" max="4" width="13.1640625" bestFit="1" customWidth="1"/>
    <col min="5" max="5" width="13.83203125" bestFit="1" customWidth="1"/>
    <col min="6" max="6" width="15.33203125" bestFit="1" customWidth="1"/>
    <col min="7" max="7" width="16" bestFit="1" customWidth="1"/>
    <col min="8" max="8" width="21.6640625" bestFit="1" customWidth="1"/>
    <col min="9" max="9" width="14.33203125" bestFit="1" customWidth="1"/>
    <col min="10" max="10" width="38" bestFit="1" customWidth="1"/>
    <col min="11" max="11" width="20.33203125" bestFit="1" customWidth="1"/>
    <col min="12" max="12" width="18" bestFit="1" customWidth="1"/>
    <col min="13" max="13" width="11.83203125" bestFit="1" customWidth="1"/>
    <col min="14" max="14" width="16" bestFit="1" customWidth="1"/>
    <col min="15" max="15" width="16.5" bestFit="1" customWidth="1"/>
  </cols>
  <sheetData>
    <row r="1" spans="2:13">
      <c r="F1" s="84">
        <f>F3*50</f>
        <v>1707150</v>
      </c>
      <c r="H1">
        <f>1*8760*0.168</f>
        <v>1471.68</v>
      </c>
      <c r="I1" s="78">
        <f>15853/8760/11.52</f>
        <v>0.15709229134956876</v>
      </c>
    </row>
    <row r="2" spans="2:13">
      <c r="B2" t="s">
        <v>21</v>
      </c>
      <c r="C2" s="80">
        <f>I15</f>
        <v>2154300</v>
      </c>
      <c r="E2" t="s">
        <v>23</v>
      </c>
      <c r="H2" t="s">
        <v>44</v>
      </c>
      <c r="I2" t="s">
        <v>33</v>
      </c>
      <c r="J2" t="s">
        <v>45</v>
      </c>
      <c r="K2" t="s">
        <v>46</v>
      </c>
    </row>
    <row r="3" spans="2:13">
      <c r="B3" t="s">
        <v>22</v>
      </c>
      <c r="C3" s="80">
        <f>C2</f>
        <v>2154300</v>
      </c>
      <c r="E3" t="s">
        <v>24</v>
      </c>
      <c r="F3" s="80">
        <f>L23</f>
        <v>34143</v>
      </c>
      <c r="H3" t="s">
        <v>34</v>
      </c>
      <c r="I3" s="80">
        <v>1800000</v>
      </c>
    </row>
    <row r="4" spans="2:13">
      <c r="B4" t="s">
        <v>17</v>
      </c>
      <c r="C4" s="77">
        <v>0.75</v>
      </c>
      <c r="F4" s="80"/>
      <c r="H4" t="s">
        <v>35</v>
      </c>
      <c r="I4" s="80">
        <f>I3*80%*J4*0</f>
        <v>0</v>
      </c>
      <c r="J4" s="78">
        <v>1.4999999999999999E-2</v>
      </c>
      <c r="K4" t="s">
        <v>47</v>
      </c>
    </row>
    <row r="5" spans="2:13">
      <c r="B5" t="s">
        <v>3</v>
      </c>
      <c r="C5" s="77">
        <f>1-C4</f>
        <v>0.25</v>
      </c>
      <c r="E5" t="s">
        <v>25</v>
      </c>
      <c r="F5" s="80"/>
      <c r="H5" t="s">
        <v>36</v>
      </c>
      <c r="I5" s="80">
        <f>I3*80%*J5*0</f>
        <v>0</v>
      </c>
      <c r="J5" s="78">
        <v>8.9999999999999993E-3</v>
      </c>
      <c r="K5" t="s">
        <v>47</v>
      </c>
    </row>
    <row r="6" spans="2:13">
      <c r="E6" t="s">
        <v>26</v>
      </c>
      <c r="F6" s="80">
        <f>H1*1000</f>
        <v>1471680</v>
      </c>
      <c r="H6" t="s">
        <v>37</v>
      </c>
      <c r="I6" s="80">
        <f>I3*J6*80%</f>
        <v>0</v>
      </c>
      <c r="J6">
        <v>0</v>
      </c>
      <c r="K6" t="s">
        <v>47</v>
      </c>
    </row>
    <row r="7" spans="2:13">
      <c r="B7" t="s">
        <v>27</v>
      </c>
      <c r="F7" s="80"/>
      <c r="H7" t="s">
        <v>38</v>
      </c>
      <c r="I7" s="80">
        <f>SUM(I3:I6)</f>
        <v>1800000</v>
      </c>
    </row>
    <row r="8" spans="2:13">
      <c r="B8" t="s">
        <v>17</v>
      </c>
      <c r="F8" s="80"/>
      <c r="I8" s="80"/>
    </row>
    <row r="9" spans="2:13">
      <c r="B9" t="s">
        <v>0</v>
      </c>
      <c r="C9" s="78">
        <v>7.4999999999999997E-3</v>
      </c>
      <c r="E9" t="s">
        <v>17</v>
      </c>
      <c r="F9" s="80">
        <f>C3*C4</f>
        <v>1615725</v>
      </c>
      <c r="H9" t="s">
        <v>39</v>
      </c>
      <c r="I9" s="80">
        <f>M15</f>
        <v>330000</v>
      </c>
      <c r="J9" t="s">
        <v>50</v>
      </c>
      <c r="L9" t="s">
        <v>39</v>
      </c>
    </row>
    <row r="10" spans="2:13">
      <c r="B10" t="s">
        <v>1</v>
      </c>
      <c r="C10" s="78">
        <v>4.5999999999999999E-2</v>
      </c>
      <c r="F10" s="80"/>
      <c r="H10" t="s">
        <v>40</v>
      </c>
      <c r="I10" s="80">
        <f>60000*0</f>
        <v>0</v>
      </c>
      <c r="J10" t="s">
        <v>51</v>
      </c>
      <c r="L10" t="s">
        <v>53</v>
      </c>
      <c r="M10" s="80">
        <v>40000</v>
      </c>
    </row>
    <row r="11" spans="2:13">
      <c r="B11" t="s">
        <v>2</v>
      </c>
      <c r="C11" s="78">
        <f>SUM(C9:C10)</f>
        <v>5.3499999999999999E-2</v>
      </c>
      <c r="E11" t="s">
        <v>3</v>
      </c>
      <c r="F11" s="80">
        <f>C3-F19</f>
        <v>538575</v>
      </c>
      <c r="H11" t="s">
        <v>58</v>
      </c>
      <c r="I11" s="80">
        <f>I7*1.35%</f>
        <v>24300.000000000004</v>
      </c>
      <c r="J11" s="78">
        <v>1.35E-2</v>
      </c>
      <c r="K11" t="s">
        <v>48</v>
      </c>
      <c r="L11" t="s">
        <v>54</v>
      </c>
      <c r="M11" s="80">
        <v>60000</v>
      </c>
    </row>
    <row r="12" spans="2:13">
      <c r="E12" t="s">
        <v>19</v>
      </c>
      <c r="F12" s="80">
        <f>F11*C14*0.75</f>
        <v>68668.3125</v>
      </c>
      <c r="H12" t="s">
        <v>42</v>
      </c>
      <c r="I12" s="80">
        <f>I3*C4*C11*0</f>
        <v>0</v>
      </c>
      <c r="J12" t="s">
        <v>59</v>
      </c>
      <c r="L12" t="s">
        <v>55</v>
      </c>
      <c r="M12" s="80">
        <v>100000</v>
      </c>
    </row>
    <row r="13" spans="2:13">
      <c r="B13" t="s">
        <v>3</v>
      </c>
      <c r="E13" t="s">
        <v>20</v>
      </c>
      <c r="F13" s="80">
        <f>F11+F12</f>
        <v>607243.3125</v>
      </c>
      <c r="H13" t="s">
        <v>43</v>
      </c>
      <c r="I13" s="80">
        <f>I3*C4*J13*0</f>
        <v>0</v>
      </c>
      <c r="J13" s="78">
        <v>3.5000000000000003E-2</v>
      </c>
      <c r="K13" t="s">
        <v>49</v>
      </c>
      <c r="L13" t="s">
        <v>56</v>
      </c>
      <c r="M13" s="80">
        <v>50000</v>
      </c>
    </row>
    <row r="14" spans="2:13">
      <c r="B14" t="s">
        <v>11</v>
      </c>
      <c r="C14" s="77">
        <v>0.17</v>
      </c>
      <c r="I14" s="80"/>
      <c r="L14" t="s">
        <v>57</v>
      </c>
      <c r="M14" s="80">
        <v>80000</v>
      </c>
    </row>
    <row r="15" spans="2:13">
      <c r="E15" t="s">
        <v>6</v>
      </c>
      <c r="F15">
        <v>92</v>
      </c>
      <c r="H15" t="s">
        <v>2</v>
      </c>
      <c r="I15" s="80">
        <f>SUM(I7:I14)</f>
        <v>2154300</v>
      </c>
      <c r="M15" s="80">
        <f>SUM(M10:M14)</f>
        <v>330000</v>
      </c>
    </row>
    <row r="16" spans="2:13">
      <c r="J16" s="79">
        <f>I15+F12</f>
        <v>2222968.3125</v>
      </c>
      <c r="M16" s="80"/>
    </row>
    <row r="17" spans="2:13">
      <c r="B17" t="s">
        <v>28</v>
      </c>
      <c r="H17" s="80">
        <f>F11*C14</f>
        <v>91557.75</v>
      </c>
      <c r="J17" s="79">
        <f>F9*86</f>
        <v>138952350</v>
      </c>
      <c r="K17" s="79">
        <f>F9*C11*1.33</f>
        <v>114966.912375</v>
      </c>
      <c r="M17" s="80">
        <f>2853000/50</f>
        <v>57060</v>
      </c>
    </row>
    <row r="18" spans="2:13">
      <c r="B18" t="s">
        <v>30</v>
      </c>
      <c r="C18" t="s">
        <v>7</v>
      </c>
      <c r="D18" t="s">
        <v>8</v>
      </c>
      <c r="E18" t="s">
        <v>12</v>
      </c>
      <c r="F18" t="s">
        <v>4</v>
      </c>
      <c r="G18" t="s">
        <v>7</v>
      </c>
      <c r="H18" t="s">
        <v>8</v>
      </c>
      <c r="I18" t="s">
        <v>12</v>
      </c>
    </row>
    <row r="19" spans="2:13">
      <c r="F19" s="80">
        <f>C3*C4</f>
        <v>1615725</v>
      </c>
      <c r="G19" t="s">
        <v>29</v>
      </c>
      <c r="J19">
        <f>F6/438000/1000</f>
        <v>3.3599999999999997E-3</v>
      </c>
      <c r="L19" s="80">
        <f>I15*0.01</f>
        <v>21543</v>
      </c>
    </row>
    <row r="20" spans="2:13">
      <c r="B20">
        <v>1</v>
      </c>
      <c r="C20" s="80">
        <f>E20-D20</f>
        <v>30810.093610680156</v>
      </c>
      <c r="D20" s="80">
        <f>F19*$C$11/4</f>
        <v>21610.321874999998</v>
      </c>
      <c r="E20" s="80">
        <f>PMT($C$11/4,40,-$F$19)</f>
        <v>52420.415485680154</v>
      </c>
      <c r="F20" s="80">
        <f>F19-C20</f>
        <v>1584914.9063893198</v>
      </c>
      <c r="G20">
        <f t="shared" ref="G20:I20" si="0">IF(MOD($B20,4)=0,SUM(C17:C20),0)/$F$6*$F$15</f>
        <v>0</v>
      </c>
      <c r="H20">
        <f t="shared" si="0"/>
        <v>0</v>
      </c>
      <c r="I20">
        <f t="shared" si="0"/>
        <v>0</v>
      </c>
      <c r="J20">
        <f>F11*86</f>
        <v>46317450</v>
      </c>
      <c r="L20" s="80">
        <f>I3*0.007</f>
        <v>12600</v>
      </c>
    </row>
    <row r="21" spans="2:13">
      <c r="B21">
        <f>B20+1</f>
        <v>2</v>
      </c>
      <c r="C21" s="80">
        <f t="shared" ref="C21:C59" si="1">E21-D21</f>
        <v>31222.178612723001</v>
      </c>
      <c r="D21" s="80">
        <f t="shared" ref="D21:D59" si="2">F20*$C$11/4</f>
        <v>21198.236872957154</v>
      </c>
      <c r="E21" s="80">
        <f t="shared" ref="E21:E59" si="3">PMT($C$11/4,40,-$F$19)</f>
        <v>52420.415485680154</v>
      </c>
      <c r="F21" s="80">
        <f t="shared" ref="F21:F59" si="4">F20-C21</f>
        <v>1553692.7277765968</v>
      </c>
      <c r="G21">
        <f t="shared" ref="G21:I23" si="5">IF(MOD($B21,4)=0,SUM(C18:C21),0)/$F$6*$F$15</f>
        <v>0</v>
      </c>
      <c r="H21">
        <f t="shared" si="5"/>
        <v>0</v>
      </c>
      <c r="I21">
        <f t="shared" si="5"/>
        <v>0</v>
      </c>
      <c r="L21" s="80"/>
    </row>
    <row r="22" spans="2:13">
      <c r="B22">
        <f t="shared" ref="B22:B59" si="6">B21+1</f>
        <v>3</v>
      </c>
      <c r="C22" s="80">
        <f t="shared" si="1"/>
        <v>31639.775251668172</v>
      </c>
      <c r="D22" s="80">
        <f t="shared" si="2"/>
        <v>20780.640234011982</v>
      </c>
      <c r="E22" s="80">
        <f t="shared" si="3"/>
        <v>52420.415485680154</v>
      </c>
      <c r="F22" s="80">
        <f t="shared" si="4"/>
        <v>1522052.9525249286</v>
      </c>
      <c r="G22">
        <f t="shared" si="5"/>
        <v>0</v>
      </c>
      <c r="H22">
        <f t="shared" si="5"/>
        <v>0</v>
      </c>
      <c r="I22">
        <f t="shared" si="5"/>
        <v>0</v>
      </c>
      <c r="L22" s="80">
        <v>0</v>
      </c>
    </row>
    <row r="23" spans="2:13">
      <c r="B23">
        <f t="shared" si="6"/>
        <v>4</v>
      </c>
      <c r="C23" s="80">
        <f t="shared" si="1"/>
        <v>32062.957245659236</v>
      </c>
      <c r="D23" s="80">
        <f t="shared" si="2"/>
        <v>20357.458240020918</v>
      </c>
      <c r="E23" s="80">
        <f t="shared" si="3"/>
        <v>52420.415485680154</v>
      </c>
      <c r="F23" s="80">
        <f t="shared" si="4"/>
        <v>1489989.9952792693</v>
      </c>
      <c r="G23">
        <f>IF(MOD($B23,4)=0,SUM(C20:C23),0)/$F$6*$F$15</f>
        <v>7.8601465225505631</v>
      </c>
      <c r="H23">
        <f t="shared" si="5"/>
        <v>5.2478069039621964</v>
      </c>
      <c r="I23">
        <f t="shared" si="5"/>
        <v>13.10795342651276</v>
      </c>
      <c r="L23" s="80">
        <f>SUM(L19:L22)</f>
        <v>34143</v>
      </c>
    </row>
    <row r="24" spans="2:13">
      <c r="B24">
        <f t="shared" si="6"/>
        <v>5</v>
      </c>
      <c r="C24" s="80">
        <f t="shared" si="1"/>
        <v>32491.799298819929</v>
      </c>
      <c r="D24" s="80">
        <f t="shared" si="2"/>
        <v>19928.616186860225</v>
      </c>
      <c r="E24" s="80">
        <f t="shared" si="3"/>
        <v>52420.415485680154</v>
      </c>
      <c r="F24" s="80">
        <f t="shared" si="4"/>
        <v>1457498.1959804494</v>
      </c>
      <c r="G24">
        <f t="shared" ref="G24:I39" si="7">IF(MOD($B24,4)=0,SUM(C21:C24),0)/$F$6*$F$15</f>
        <v>0</v>
      </c>
      <c r="H24">
        <f t="shared" si="7"/>
        <v>0</v>
      </c>
      <c r="I24">
        <f t="shared" si="7"/>
        <v>0</v>
      </c>
    </row>
    <row r="25" spans="2:13">
      <c r="B25">
        <f t="shared" si="6"/>
        <v>6</v>
      </c>
      <c r="C25" s="80">
        <f t="shared" si="1"/>
        <v>32926.377114441639</v>
      </c>
      <c r="D25" s="80">
        <f t="shared" si="2"/>
        <v>19494.038371238512</v>
      </c>
      <c r="E25" s="80">
        <f t="shared" si="3"/>
        <v>52420.415485680154</v>
      </c>
      <c r="F25" s="80">
        <f t="shared" si="4"/>
        <v>1424571.8188660077</v>
      </c>
      <c r="G25">
        <f t="shared" si="7"/>
        <v>0</v>
      </c>
      <c r="H25">
        <f t="shared" si="7"/>
        <v>0</v>
      </c>
      <c r="I25">
        <f t="shared" si="7"/>
        <v>0</v>
      </c>
    </row>
    <row r="26" spans="2:13">
      <c r="B26">
        <f t="shared" si="6"/>
        <v>7</v>
      </c>
      <c r="C26" s="80">
        <f t="shared" si="1"/>
        <v>33366.767408347303</v>
      </c>
      <c r="D26" s="80">
        <f t="shared" si="2"/>
        <v>19053.648077332851</v>
      </c>
      <c r="E26" s="80">
        <f t="shared" si="3"/>
        <v>52420.415485680154</v>
      </c>
      <c r="F26" s="80">
        <f t="shared" si="4"/>
        <v>1391205.0514576605</v>
      </c>
      <c r="G26">
        <f t="shared" si="7"/>
        <v>0</v>
      </c>
      <c r="H26">
        <f t="shared" si="7"/>
        <v>0</v>
      </c>
      <c r="I26">
        <f t="shared" si="7"/>
        <v>0</v>
      </c>
    </row>
    <row r="27" spans="2:13">
      <c r="B27">
        <f t="shared" si="6"/>
        <v>8</v>
      </c>
      <c r="C27" s="80">
        <f t="shared" si="1"/>
        <v>33813.047922433951</v>
      </c>
      <c r="D27" s="80">
        <f t="shared" si="2"/>
        <v>18607.367563246207</v>
      </c>
      <c r="E27" s="80">
        <f t="shared" si="3"/>
        <v>52420.415485680154</v>
      </c>
      <c r="F27" s="80">
        <f t="shared" si="4"/>
        <v>1357392.0035352265</v>
      </c>
      <c r="G27">
        <f t="shared" si="7"/>
        <v>8.2891764788893934</v>
      </c>
      <c r="H27">
        <f t="shared" si="7"/>
        <v>4.8187769476233671</v>
      </c>
      <c r="I27">
        <f t="shared" si="7"/>
        <v>13.10795342651276</v>
      </c>
    </row>
    <row r="28" spans="2:13">
      <c r="B28">
        <f t="shared" si="6"/>
        <v>9</v>
      </c>
      <c r="C28" s="80">
        <f t="shared" si="1"/>
        <v>34265.297438396505</v>
      </c>
      <c r="D28" s="80">
        <f t="shared" si="2"/>
        <v>18155.118047283653</v>
      </c>
      <c r="E28" s="80">
        <f t="shared" si="3"/>
        <v>52420.415485680154</v>
      </c>
      <c r="F28" s="80">
        <f t="shared" si="4"/>
        <v>1323126.7060968298</v>
      </c>
      <c r="G28">
        <f t="shared" si="7"/>
        <v>0</v>
      </c>
      <c r="H28">
        <f t="shared" si="7"/>
        <v>0</v>
      </c>
      <c r="I28">
        <f t="shared" si="7"/>
        <v>0</v>
      </c>
    </row>
    <row r="29" spans="2:13">
      <c r="B29">
        <f t="shared" si="6"/>
        <v>10</v>
      </c>
      <c r="C29" s="80">
        <f t="shared" si="1"/>
        <v>34723.59579163506</v>
      </c>
      <c r="D29" s="80">
        <f t="shared" si="2"/>
        <v>17696.819694045098</v>
      </c>
      <c r="E29" s="80">
        <f t="shared" si="3"/>
        <v>52420.415485680154</v>
      </c>
      <c r="F29" s="80">
        <f t="shared" si="4"/>
        <v>1288403.1103051947</v>
      </c>
      <c r="G29">
        <f t="shared" si="7"/>
        <v>0</v>
      </c>
      <c r="H29">
        <f t="shared" si="7"/>
        <v>0</v>
      </c>
      <c r="I29">
        <f t="shared" si="7"/>
        <v>0</v>
      </c>
    </row>
    <row r="30" spans="2:13">
      <c r="B30">
        <f t="shared" si="6"/>
        <v>11</v>
      </c>
      <c r="C30" s="80">
        <f t="shared" si="1"/>
        <v>35188.023885348171</v>
      </c>
      <c r="D30" s="80">
        <f t="shared" si="2"/>
        <v>17232.391600331979</v>
      </c>
      <c r="E30" s="80">
        <f t="shared" si="3"/>
        <v>52420.415485680154</v>
      </c>
      <c r="F30" s="80">
        <f t="shared" si="4"/>
        <v>1253215.0864198466</v>
      </c>
      <c r="G30">
        <f t="shared" si="7"/>
        <v>0</v>
      </c>
      <c r="H30">
        <f t="shared" si="7"/>
        <v>0</v>
      </c>
      <c r="I30">
        <f t="shared" si="7"/>
        <v>0</v>
      </c>
    </row>
    <row r="31" spans="2:13">
      <c r="B31">
        <f t="shared" si="6"/>
        <v>12</v>
      </c>
      <c r="C31" s="80">
        <f t="shared" si="1"/>
        <v>35658.663704814709</v>
      </c>
      <c r="D31" s="80">
        <f t="shared" si="2"/>
        <v>16761.751780865448</v>
      </c>
      <c r="E31" s="80">
        <f t="shared" si="3"/>
        <v>52420.415485680154</v>
      </c>
      <c r="F31" s="80">
        <f t="shared" si="4"/>
        <v>1217556.422715032</v>
      </c>
      <c r="G31">
        <f t="shared" si="7"/>
        <v>8.7416241543391831</v>
      </c>
      <c r="H31">
        <f t="shared" si="7"/>
        <v>4.3663292721735765</v>
      </c>
      <c r="I31">
        <f t="shared" si="7"/>
        <v>13.10795342651276</v>
      </c>
    </row>
    <row r="32" spans="2:13">
      <c r="B32">
        <f t="shared" si="6"/>
        <v>13</v>
      </c>
      <c r="C32" s="80">
        <f t="shared" si="1"/>
        <v>36135.598331866604</v>
      </c>
      <c r="D32" s="80">
        <f t="shared" si="2"/>
        <v>16284.817153813552</v>
      </c>
      <c r="E32" s="80">
        <f t="shared" si="3"/>
        <v>52420.415485680154</v>
      </c>
      <c r="F32" s="80">
        <f t="shared" si="4"/>
        <v>1181420.8243831655</v>
      </c>
      <c r="G32">
        <f t="shared" si="7"/>
        <v>0</v>
      </c>
      <c r="H32">
        <f t="shared" si="7"/>
        <v>0</v>
      </c>
      <c r="I32">
        <f t="shared" si="7"/>
        <v>0</v>
      </c>
    </row>
    <row r="33" spans="2:9">
      <c r="B33">
        <f t="shared" si="6"/>
        <v>14</v>
      </c>
      <c r="C33" s="80">
        <f t="shared" si="1"/>
        <v>36618.91195955532</v>
      </c>
      <c r="D33" s="80">
        <f t="shared" si="2"/>
        <v>15801.503526124838</v>
      </c>
      <c r="E33" s="80">
        <f t="shared" si="3"/>
        <v>52420.415485680154</v>
      </c>
      <c r="F33" s="80">
        <f t="shared" si="4"/>
        <v>1144801.9124236102</v>
      </c>
      <c r="G33">
        <f t="shared" si="7"/>
        <v>0</v>
      </c>
      <c r="H33">
        <f t="shared" si="7"/>
        <v>0</v>
      </c>
      <c r="I33">
        <f t="shared" si="7"/>
        <v>0</v>
      </c>
    </row>
    <row r="34" spans="2:9">
      <c r="B34">
        <f t="shared" si="6"/>
        <v>15</v>
      </c>
      <c r="C34" s="80">
        <f t="shared" si="1"/>
        <v>37108.68990701437</v>
      </c>
      <c r="D34" s="80">
        <f t="shared" si="2"/>
        <v>15311.725578665786</v>
      </c>
      <c r="E34" s="80">
        <f t="shared" si="3"/>
        <v>52420.415485680154</v>
      </c>
      <c r="F34" s="80">
        <f t="shared" si="4"/>
        <v>1107693.2225165959</v>
      </c>
      <c r="G34">
        <f t="shared" si="7"/>
        <v>0</v>
      </c>
      <c r="H34">
        <f t="shared" si="7"/>
        <v>0</v>
      </c>
      <c r="I34">
        <f t="shared" si="7"/>
        <v>0</v>
      </c>
    </row>
    <row r="35" spans="2:9">
      <c r="B35">
        <f t="shared" si="6"/>
        <v>16</v>
      </c>
      <c r="C35" s="80">
        <f t="shared" si="1"/>
        <v>37605.018634520689</v>
      </c>
      <c r="D35" s="80">
        <f t="shared" si="2"/>
        <v>14815.396851159468</v>
      </c>
      <c r="E35" s="80">
        <f t="shared" si="3"/>
        <v>52420.415485680154</v>
      </c>
      <c r="F35" s="80">
        <f t="shared" si="4"/>
        <v>1070088.2038820751</v>
      </c>
      <c r="G35">
        <f t="shared" si="7"/>
        <v>9.2187677570069866</v>
      </c>
      <c r="H35">
        <f t="shared" si="7"/>
        <v>3.889185669505772</v>
      </c>
      <c r="I35">
        <f t="shared" si="7"/>
        <v>13.10795342651276</v>
      </c>
    </row>
    <row r="36" spans="2:9">
      <c r="B36">
        <f t="shared" si="6"/>
        <v>17</v>
      </c>
      <c r="C36" s="80">
        <f t="shared" si="1"/>
        <v>38107.985758757401</v>
      </c>
      <c r="D36" s="80">
        <f t="shared" si="2"/>
        <v>14312.429726922755</v>
      </c>
      <c r="E36" s="80">
        <f t="shared" si="3"/>
        <v>52420.415485680154</v>
      </c>
      <c r="F36" s="80">
        <f t="shared" si="4"/>
        <v>1031980.2181233177</v>
      </c>
      <c r="G36">
        <f t="shared" si="7"/>
        <v>0</v>
      </c>
      <c r="H36">
        <f t="shared" si="7"/>
        <v>0</v>
      </c>
      <c r="I36">
        <f t="shared" si="7"/>
        <v>0</v>
      </c>
    </row>
    <row r="37" spans="2:9">
      <c r="B37">
        <f t="shared" si="6"/>
        <v>18</v>
      </c>
      <c r="C37" s="80">
        <f t="shared" si="1"/>
        <v>38617.680068280781</v>
      </c>
      <c r="D37" s="80">
        <f t="shared" si="2"/>
        <v>13802.735417399374</v>
      </c>
      <c r="E37" s="80">
        <f t="shared" si="3"/>
        <v>52420.415485680154</v>
      </c>
      <c r="F37" s="80">
        <f t="shared" si="4"/>
        <v>993362.53805503692</v>
      </c>
      <c r="G37">
        <f t="shared" si="7"/>
        <v>0</v>
      </c>
      <c r="H37">
        <f t="shared" si="7"/>
        <v>0</v>
      </c>
      <c r="I37">
        <f t="shared" si="7"/>
        <v>0</v>
      </c>
    </row>
    <row r="38" spans="2:9">
      <c r="B38">
        <f t="shared" si="6"/>
        <v>19</v>
      </c>
      <c r="C38" s="80">
        <f t="shared" si="1"/>
        <v>39134.191539194035</v>
      </c>
      <c r="D38" s="80">
        <f t="shared" si="2"/>
        <v>13286.223946486118</v>
      </c>
      <c r="E38" s="80">
        <f t="shared" si="3"/>
        <v>52420.415485680154</v>
      </c>
      <c r="F38" s="80">
        <f t="shared" si="4"/>
        <v>954228.34651584283</v>
      </c>
      <c r="G38">
        <f t="shared" si="7"/>
        <v>0</v>
      </c>
      <c r="H38">
        <f t="shared" si="7"/>
        <v>0</v>
      </c>
      <c r="I38">
        <f t="shared" si="7"/>
        <v>0</v>
      </c>
    </row>
    <row r="39" spans="2:9">
      <c r="B39">
        <f t="shared" si="6"/>
        <v>20</v>
      </c>
      <c r="C39" s="80">
        <f t="shared" si="1"/>
        <v>39657.611351030755</v>
      </c>
      <c r="D39" s="80">
        <f t="shared" si="2"/>
        <v>12762.804134649397</v>
      </c>
      <c r="E39" s="80">
        <f t="shared" si="3"/>
        <v>52420.415485680154</v>
      </c>
      <c r="F39" s="80">
        <f t="shared" si="4"/>
        <v>914570.73516481207</v>
      </c>
      <c r="G39">
        <f t="shared" si="7"/>
        <v>9.7219552633644497</v>
      </c>
      <c r="H39">
        <f t="shared" si="7"/>
        <v>3.3859981631483089</v>
      </c>
      <c r="I39">
        <f t="shared" si="7"/>
        <v>13.10795342651276</v>
      </c>
    </row>
    <row r="40" spans="2:9">
      <c r="B40">
        <f t="shared" si="6"/>
        <v>21</v>
      </c>
      <c r="C40" s="80">
        <f t="shared" si="1"/>
        <v>40188.031902850795</v>
      </c>
      <c r="D40" s="80">
        <f t="shared" si="2"/>
        <v>12232.383582829361</v>
      </c>
      <c r="E40" s="80">
        <f t="shared" si="3"/>
        <v>52420.415485680154</v>
      </c>
      <c r="F40" s="80">
        <f t="shared" si="4"/>
        <v>874382.70326196123</v>
      </c>
      <c r="G40">
        <f t="shared" ref="G40:I55" si="8">IF(MOD($B40,4)=0,SUM(C37:C40),0)/$F$6*$F$15</f>
        <v>0</v>
      </c>
      <c r="H40">
        <f t="shared" si="8"/>
        <v>0</v>
      </c>
      <c r="I40">
        <f t="shared" si="8"/>
        <v>0</v>
      </c>
    </row>
    <row r="41" spans="2:9">
      <c r="B41">
        <f t="shared" si="6"/>
        <v>22</v>
      </c>
      <c r="C41" s="80">
        <f t="shared" si="1"/>
        <v>40725.546829551422</v>
      </c>
      <c r="D41" s="80">
        <f t="shared" si="2"/>
        <v>11694.86865612873</v>
      </c>
      <c r="E41" s="80">
        <f t="shared" si="3"/>
        <v>52420.415485680154</v>
      </c>
      <c r="F41" s="80">
        <f t="shared" si="4"/>
        <v>833657.15643240977</v>
      </c>
      <c r="G41">
        <f t="shared" si="8"/>
        <v>0</v>
      </c>
      <c r="H41">
        <f t="shared" si="8"/>
        <v>0</v>
      </c>
      <c r="I41">
        <f t="shared" si="8"/>
        <v>0</v>
      </c>
    </row>
    <row r="42" spans="2:9">
      <c r="B42">
        <f t="shared" si="6"/>
        <v>23</v>
      </c>
      <c r="C42" s="80">
        <f t="shared" si="1"/>
        <v>41270.251018396673</v>
      </c>
      <c r="D42" s="80">
        <f t="shared" si="2"/>
        <v>11150.164467283481</v>
      </c>
      <c r="E42" s="80">
        <f t="shared" si="3"/>
        <v>52420.415485680154</v>
      </c>
      <c r="F42" s="80">
        <f t="shared" si="4"/>
        <v>792386.90541401308</v>
      </c>
      <c r="G42">
        <f t="shared" si="8"/>
        <v>0</v>
      </c>
      <c r="H42">
        <f t="shared" si="8"/>
        <v>0</v>
      </c>
      <c r="I42">
        <f t="shared" si="8"/>
        <v>0</v>
      </c>
    </row>
    <row r="43" spans="2:9">
      <c r="B43">
        <f t="shared" si="6"/>
        <v>24</v>
      </c>
      <c r="C43" s="80">
        <f t="shared" si="1"/>
        <v>41822.240625767728</v>
      </c>
      <c r="D43" s="80">
        <f t="shared" si="2"/>
        <v>10598.174859912424</v>
      </c>
      <c r="E43" s="80">
        <f t="shared" si="3"/>
        <v>52420.415485680154</v>
      </c>
      <c r="F43" s="80">
        <f t="shared" si="4"/>
        <v>750564.66478824534</v>
      </c>
      <c r="G43">
        <f t="shared" si="8"/>
        <v>10.25260822641072</v>
      </c>
      <c r="H43">
        <f t="shared" si="8"/>
        <v>2.8553452001020383</v>
      </c>
      <c r="I43">
        <f t="shared" si="8"/>
        <v>13.10795342651276</v>
      </c>
    </row>
    <row r="44" spans="2:9">
      <c r="B44">
        <f t="shared" si="6"/>
        <v>25</v>
      </c>
      <c r="C44" s="80">
        <f t="shared" si="1"/>
        <v>42381.61309413737</v>
      </c>
      <c r="D44" s="80">
        <f t="shared" si="2"/>
        <v>10038.802391542782</v>
      </c>
      <c r="E44" s="80">
        <f t="shared" si="3"/>
        <v>52420.415485680154</v>
      </c>
      <c r="F44" s="80">
        <f t="shared" si="4"/>
        <v>708183.05169410794</v>
      </c>
      <c r="G44">
        <f t="shared" si="8"/>
        <v>0</v>
      </c>
      <c r="H44">
        <f t="shared" si="8"/>
        <v>0</v>
      </c>
      <c r="I44">
        <f t="shared" si="8"/>
        <v>0</v>
      </c>
    </row>
    <row r="45" spans="2:9">
      <c r="B45">
        <f t="shared" si="6"/>
        <v>26</v>
      </c>
      <c r="C45" s="80">
        <f t="shared" si="1"/>
        <v>42948.467169271462</v>
      </c>
      <c r="D45" s="80">
        <f t="shared" si="2"/>
        <v>9471.9483164086942</v>
      </c>
      <c r="E45" s="80">
        <f t="shared" si="3"/>
        <v>52420.415485680154</v>
      </c>
      <c r="F45" s="80">
        <f t="shared" si="4"/>
        <v>665234.58452483651</v>
      </c>
      <c r="G45">
        <f t="shared" si="8"/>
        <v>0</v>
      </c>
      <c r="H45">
        <f t="shared" si="8"/>
        <v>0</v>
      </c>
      <c r="I45">
        <f t="shared" si="8"/>
        <v>0</v>
      </c>
    </row>
    <row r="46" spans="2:9">
      <c r="B46">
        <f t="shared" si="6"/>
        <v>27</v>
      </c>
      <c r="C46" s="80">
        <f t="shared" si="1"/>
        <v>43522.902917660467</v>
      </c>
      <c r="D46" s="80">
        <f t="shared" si="2"/>
        <v>8897.5125680196888</v>
      </c>
      <c r="E46" s="80">
        <f t="shared" si="3"/>
        <v>52420.415485680154</v>
      </c>
      <c r="F46" s="80">
        <f t="shared" si="4"/>
        <v>621711.68160717608</v>
      </c>
      <c r="G46">
        <f t="shared" si="8"/>
        <v>0</v>
      </c>
      <c r="H46">
        <f t="shared" si="8"/>
        <v>0</v>
      </c>
      <c r="I46">
        <f t="shared" si="8"/>
        <v>0</v>
      </c>
    </row>
    <row r="47" spans="2:9">
      <c r="B47">
        <f t="shared" si="6"/>
        <v>28</v>
      </c>
      <c r="C47" s="80">
        <f t="shared" si="1"/>
        <v>44105.021744184174</v>
      </c>
      <c r="D47" s="80">
        <f t="shared" si="2"/>
        <v>8315.3937414959801</v>
      </c>
      <c r="E47" s="80">
        <f t="shared" si="3"/>
        <v>52420.415485680154</v>
      </c>
      <c r="F47" s="80">
        <f t="shared" si="4"/>
        <v>577606.65986299189</v>
      </c>
      <c r="G47">
        <f t="shared" si="8"/>
        <v>10.812225791696102</v>
      </c>
      <c r="H47">
        <f t="shared" si="8"/>
        <v>2.2957276348166569</v>
      </c>
      <c r="I47">
        <f t="shared" si="8"/>
        <v>13.10795342651276</v>
      </c>
    </row>
    <row r="48" spans="2:9">
      <c r="B48">
        <f t="shared" si="6"/>
        <v>29</v>
      </c>
      <c r="C48" s="80">
        <f t="shared" si="1"/>
        <v>44694.926410012638</v>
      </c>
      <c r="D48" s="80">
        <f t="shared" si="2"/>
        <v>7725.4890756675168</v>
      </c>
      <c r="E48" s="80">
        <f t="shared" si="3"/>
        <v>52420.415485680154</v>
      </c>
      <c r="F48" s="80">
        <f t="shared" si="4"/>
        <v>532911.73345297924</v>
      </c>
      <c r="G48">
        <f t="shared" si="8"/>
        <v>0</v>
      </c>
      <c r="H48">
        <f t="shared" si="8"/>
        <v>0</v>
      </c>
      <c r="I48">
        <f t="shared" si="8"/>
        <v>0</v>
      </c>
    </row>
    <row r="49" spans="2:15">
      <c r="B49">
        <f t="shared" si="6"/>
        <v>30</v>
      </c>
      <c r="C49" s="80">
        <f t="shared" si="1"/>
        <v>45292.721050746557</v>
      </c>
      <c r="D49" s="80">
        <f t="shared" si="2"/>
        <v>7127.6944349335972</v>
      </c>
      <c r="E49" s="80">
        <f t="shared" si="3"/>
        <v>52420.415485680154</v>
      </c>
      <c r="F49" s="80">
        <f t="shared" si="4"/>
        <v>487619.01240223268</v>
      </c>
      <c r="G49">
        <f t="shared" si="8"/>
        <v>0</v>
      </c>
      <c r="H49">
        <f t="shared" si="8"/>
        <v>0</v>
      </c>
      <c r="I49">
        <f t="shared" si="8"/>
        <v>0</v>
      </c>
    </row>
    <row r="50" spans="2:15">
      <c r="B50">
        <f t="shared" si="6"/>
        <v>31</v>
      </c>
      <c r="C50" s="80">
        <f t="shared" si="1"/>
        <v>45898.511194800289</v>
      </c>
      <c r="D50" s="80">
        <f t="shared" si="2"/>
        <v>6521.9042908798619</v>
      </c>
      <c r="E50" s="80">
        <f t="shared" si="3"/>
        <v>52420.415485680154</v>
      </c>
      <c r="F50" s="80">
        <f t="shared" si="4"/>
        <v>441720.50120743236</v>
      </c>
      <c r="G50">
        <f t="shared" si="8"/>
        <v>0</v>
      </c>
      <c r="H50">
        <f t="shared" si="8"/>
        <v>0</v>
      </c>
      <c r="I50">
        <f t="shared" si="8"/>
        <v>0</v>
      </c>
    </row>
    <row r="51" spans="2:15">
      <c r="B51">
        <f t="shared" si="6"/>
        <v>32</v>
      </c>
      <c r="C51" s="80">
        <f t="shared" si="1"/>
        <v>46512.403782030749</v>
      </c>
      <c r="D51" s="80">
        <f t="shared" si="2"/>
        <v>5908.0117036494075</v>
      </c>
      <c r="E51" s="80">
        <f t="shared" si="3"/>
        <v>52420.415485680154</v>
      </c>
      <c r="F51" s="80">
        <f t="shared" si="4"/>
        <v>395208.09742540162</v>
      </c>
      <c r="G51">
        <f t="shared" si="8"/>
        <v>11.402388932552117</v>
      </c>
      <c r="H51">
        <f t="shared" si="8"/>
        <v>1.7055644939606405</v>
      </c>
      <c r="I51">
        <f t="shared" si="8"/>
        <v>13.10795342651276</v>
      </c>
    </row>
    <row r="52" spans="2:15">
      <c r="B52">
        <f t="shared" si="6"/>
        <v>33</v>
      </c>
      <c r="C52" s="80">
        <f t="shared" si="1"/>
        <v>47134.507182615409</v>
      </c>
      <c r="D52" s="80">
        <f t="shared" si="2"/>
        <v>5285.9083030647462</v>
      </c>
      <c r="E52" s="80">
        <f t="shared" si="3"/>
        <v>52420.415485680154</v>
      </c>
      <c r="F52" s="80">
        <f t="shared" si="4"/>
        <v>348073.59024278622</v>
      </c>
      <c r="G52">
        <f t="shared" si="8"/>
        <v>0</v>
      </c>
      <c r="H52">
        <f t="shared" si="8"/>
        <v>0</v>
      </c>
      <c r="I52">
        <f t="shared" si="8"/>
        <v>0</v>
      </c>
    </row>
    <row r="53" spans="2:15">
      <c r="B53">
        <f t="shared" si="6"/>
        <v>34</v>
      </c>
      <c r="C53" s="80">
        <f t="shared" si="1"/>
        <v>47764.931216182886</v>
      </c>
      <c r="D53" s="80">
        <f t="shared" si="2"/>
        <v>4655.4842694972658</v>
      </c>
      <c r="E53" s="80">
        <f t="shared" si="3"/>
        <v>52420.415485680154</v>
      </c>
      <c r="F53" s="80">
        <f t="shared" si="4"/>
        <v>300308.65902660333</v>
      </c>
      <c r="G53">
        <f t="shared" si="8"/>
        <v>0</v>
      </c>
      <c r="H53">
        <f t="shared" si="8"/>
        <v>0</v>
      </c>
      <c r="I53">
        <f t="shared" si="8"/>
        <v>0</v>
      </c>
    </row>
    <row r="54" spans="2:15">
      <c r="B54">
        <f t="shared" si="6"/>
        <v>35</v>
      </c>
      <c r="C54" s="80">
        <f t="shared" si="1"/>
        <v>48403.787171199336</v>
      </c>
      <c r="D54" s="80">
        <f t="shared" si="2"/>
        <v>4016.6283144808194</v>
      </c>
      <c r="E54" s="80">
        <f t="shared" si="3"/>
        <v>52420.415485680154</v>
      </c>
      <c r="F54" s="80">
        <f t="shared" si="4"/>
        <v>251904.871855404</v>
      </c>
      <c r="G54">
        <f t="shared" si="8"/>
        <v>0</v>
      </c>
      <c r="H54">
        <f t="shared" si="8"/>
        <v>0</v>
      </c>
      <c r="I54">
        <f t="shared" si="8"/>
        <v>0</v>
      </c>
    </row>
    <row r="55" spans="2:15">
      <c r="B55">
        <f t="shared" si="6"/>
        <v>36</v>
      </c>
      <c r="C55" s="80">
        <f t="shared" si="1"/>
        <v>49051.187824614128</v>
      </c>
      <c r="D55" s="80">
        <f t="shared" si="2"/>
        <v>3369.2276610660283</v>
      </c>
      <c r="E55" s="80">
        <f t="shared" si="3"/>
        <v>52420.415485680154</v>
      </c>
      <c r="F55" s="80">
        <f t="shared" si="4"/>
        <v>202853.68403078988</v>
      </c>
      <c r="G55">
        <f t="shared" si="8"/>
        <v>12.024764916492906</v>
      </c>
      <c r="H55">
        <f t="shared" si="8"/>
        <v>1.0831885100198515</v>
      </c>
      <c r="I55">
        <f t="shared" si="8"/>
        <v>13.10795342651276</v>
      </c>
    </row>
    <row r="56" spans="2:15">
      <c r="B56">
        <f t="shared" si="6"/>
        <v>37</v>
      </c>
      <c r="C56" s="80">
        <f t="shared" si="1"/>
        <v>49707.24746176834</v>
      </c>
      <c r="D56" s="80">
        <f t="shared" si="2"/>
        <v>2713.1680239118145</v>
      </c>
      <c r="E56" s="80">
        <f t="shared" si="3"/>
        <v>52420.415485680154</v>
      </c>
      <c r="F56" s="80">
        <f t="shared" si="4"/>
        <v>153146.43656902155</v>
      </c>
      <c r="G56">
        <f t="shared" ref="G56:I59" si="9">IF(MOD($B56,4)=0,SUM(C53:C56),0)/$F$6*$F$15</f>
        <v>0</v>
      </c>
      <c r="H56">
        <f t="shared" si="9"/>
        <v>0</v>
      </c>
      <c r="I56">
        <f t="shared" si="9"/>
        <v>0</v>
      </c>
    </row>
    <row r="57" spans="2:15">
      <c r="B57">
        <f t="shared" si="6"/>
        <v>38</v>
      </c>
      <c r="C57" s="80">
        <f t="shared" si="1"/>
        <v>50372.081896569493</v>
      </c>
      <c r="D57" s="80">
        <f t="shared" si="2"/>
        <v>2048.3335891106631</v>
      </c>
      <c r="E57" s="80">
        <f t="shared" si="3"/>
        <v>52420.415485680154</v>
      </c>
      <c r="F57" s="80">
        <f t="shared" si="4"/>
        <v>102774.35467245206</v>
      </c>
      <c r="G57">
        <f t="shared" si="9"/>
        <v>0</v>
      </c>
      <c r="H57">
        <f t="shared" si="9"/>
        <v>0</v>
      </c>
      <c r="I57">
        <f t="shared" si="9"/>
        <v>0</v>
      </c>
    </row>
    <row r="58" spans="2:15">
      <c r="B58">
        <f t="shared" si="6"/>
        <v>39</v>
      </c>
      <c r="C58" s="80">
        <f t="shared" si="1"/>
        <v>51045.808491936106</v>
      </c>
      <c r="D58" s="80">
        <f t="shared" si="2"/>
        <v>1374.6069937440461</v>
      </c>
      <c r="E58" s="80">
        <f t="shared" si="3"/>
        <v>52420.415485680154</v>
      </c>
      <c r="F58" s="80">
        <f t="shared" si="4"/>
        <v>51728.54618051595</v>
      </c>
      <c r="G58">
        <f t="shared" si="9"/>
        <v>0</v>
      </c>
      <c r="H58">
        <f t="shared" si="9"/>
        <v>0</v>
      </c>
      <c r="I58">
        <f t="shared" si="9"/>
        <v>0</v>
      </c>
    </row>
    <row r="59" spans="2:15">
      <c r="B59">
        <f t="shared" si="6"/>
        <v>40</v>
      </c>
      <c r="C59" s="80">
        <f t="shared" si="1"/>
        <v>51728.546180515754</v>
      </c>
      <c r="D59" s="80">
        <f t="shared" si="2"/>
        <v>691.86930516440077</v>
      </c>
      <c r="E59" s="80">
        <f t="shared" si="3"/>
        <v>52420.415485680154</v>
      </c>
      <c r="F59" s="80">
        <f t="shared" si="4"/>
        <v>1.964508555829525E-10</v>
      </c>
      <c r="G59">
        <f t="shared" si="9"/>
        <v>12.681112015405965</v>
      </c>
      <c r="H59">
        <f t="shared" si="9"/>
        <v>0.42684141110679297</v>
      </c>
      <c r="I59">
        <f t="shared" si="9"/>
        <v>13.10795342651276</v>
      </c>
    </row>
    <row r="61" spans="2:15">
      <c r="B61" t="s">
        <v>31</v>
      </c>
      <c r="J61" t="s">
        <v>32</v>
      </c>
    </row>
    <row r="62" spans="2:15">
      <c r="B62" t="s">
        <v>10</v>
      </c>
      <c r="C62" t="s">
        <v>5</v>
      </c>
      <c r="D62" t="s">
        <v>13</v>
      </c>
      <c r="G62" t="s">
        <v>14</v>
      </c>
      <c r="H62" t="s">
        <v>15</v>
      </c>
      <c r="J62" t="s">
        <v>10</v>
      </c>
      <c r="K62" t="s">
        <v>5</v>
      </c>
      <c r="L62" t="s">
        <v>13</v>
      </c>
      <c r="N62" t="s">
        <v>14</v>
      </c>
      <c r="O62" t="s">
        <v>15</v>
      </c>
    </row>
    <row r="63" spans="2:15">
      <c r="D63" t="s">
        <v>7</v>
      </c>
      <c r="E63" t="s">
        <v>8</v>
      </c>
      <c r="F63" t="s">
        <v>9</v>
      </c>
      <c r="L63" t="s">
        <v>18</v>
      </c>
      <c r="M63" t="s">
        <v>8</v>
      </c>
    </row>
    <row r="65" spans="2:15">
      <c r="B65">
        <v>1</v>
      </c>
      <c r="C65">
        <f t="shared" ref="C65:C89" si="10">$F$3/$F$6*$F$15</f>
        <v>2.1344015003261578</v>
      </c>
      <c r="D65" s="81">
        <f t="shared" ref="D65:D89" si="11">IF(B65&lt;=10, VLOOKUP($B65*4,$B$18:$I$59,6),0)</f>
        <v>7.8601465225505631</v>
      </c>
      <c r="E65" s="81">
        <f t="shared" ref="E65:E89" si="12">IF(B65&lt;=10, VLOOKUP($B65*4,$B$18:$I$59,7),0)</f>
        <v>5.2478069039621964</v>
      </c>
      <c r="F65" s="81">
        <f>-(PMT($C$14,$B$89,$F$13)*$F$15/$F$6)/0.925</f>
        <v>7.1171023990944233</v>
      </c>
      <c r="G65" s="81">
        <f>SUM(C65:F65)</f>
        <v>22.359457325933342</v>
      </c>
      <c r="H65" s="81">
        <f t="shared" ref="H65:H89" si="13">G65/$F$15*100</f>
        <v>24.303757962971023</v>
      </c>
      <c r="J65">
        <v>1</v>
      </c>
      <c r="K65">
        <f t="shared" ref="K65:K89" si="14">C65</f>
        <v>2.1344015003261578</v>
      </c>
      <c r="L65">
        <f t="shared" ref="L65:L89" si="15">D65+F65</f>
        <v>14.977248921644986</v>
      </c>
      <c r="M65">
        <f t="shared" ref="M65:M89" si="16">E65</f>
        <v>5.2478069039621964</v>
      </c>
      <c r="N65">
        <f>SUM(K65:M65)</f>
        <v>22.359457325933338</v>
      </c>
      <c r="O65">
        <f t="shared" ref="O65:O89" si="17">N65/$F$15*100</f>
        <v>24.303757962971019</v>
      </c>
    </row>
    <row r="66" spans="2:15">
      <c r="B66">
        <f>B65+1</f>
        <v>2</v>
      </c>
      <c r="C66">
        <f t="shared" si="10"/>
        <v>2.1344015003261578</v>
      </c>
      <c r="D66" s="81">
        <f t="shared" si="11"/>
        <v>8.2891764788893934</v>
      </c>
      <c r="E66" s="81">
        <f t="shared" si="12"/>
        <v>4.8187769476233671</v>
      </c>
      <c r="F66" s="81">
        <f t="shared" ref="F66:F89" si="18">-(PMT($C$14,$B$89,$F$13)*$F$15/$F$6)/0.925</f>
        <v>7.1171023990944233</v>
      </c>
      <c r="G66" s="81">
        <f t="shared" ref="G66:G89" si="19">SUM(C66:F66)</f>
        <v>22.359457325933342</v>
      </c>
      <c r="H66" s="81">
        <f t="shared" si="13"/>
        <v>24.303757962971023</v>
      </c>
      <c r="J66">
        <f>J65+1</f>
        <v>2</v>
      </c>
      <c r="K66">
        <f t="shared" si="14"/>
        <v>2.1344015003261578</v>
      </c>
      <c r="L66">
        <f t="shared" si="15"/>
        <v>15.406278877983816</v>
      </c>
      <c r="M66">
        <f t="shared" si="16"/>
        <v>4.8187769476233671</v>
      </c>
      <c r="N66">
        <f t="shared" ref="N66:N89" si="20">SUM(K66:M66)</f>
        <v>22.359457325933338</v>
      </c>
      <c r="O66">
        <f t="shared" si="17"/>
        <v>24.303757962971019</v>
      </c>
    </row>
    <row r="67" spans="2:15">
      <c r="B67">
        <f t="shared" ref="B67:B89" si="21">B66+1</f>
        <v>3</v>
      </c>
      <c r="C67">
        <f t="shared" si="10"/>
        <v>2.1344015003261578</v>
      </c>
      <c r="D67" s="81">
        <f t="shared" si="11"/>
        <v>8.7416241543391831</v>
      </c>
      <c r="E67" s="81">
        <f t="shared" si="12"/>
        <v>4.3663292721735765</v>
      </c>
      <c r="F67" s="81">
        <f t="shared" si="18"/>
        <v>7.1171023990944233</v>
      </c>
      <c r="G67" s="81">
        <f t="shared" si="19"/>
        <v>22.359457325933342</v>
      </c>
      <c r="H67" s="81">
        <f t="shared" si="13"/>
        <v>24.303757962971023</v>
      </c>
      <c r="J67">
        <f t="shared" ref="J67:J88" si="22">J66+1</f>
        <v>3</v>
      </c>
      <c r="K67">
        <f t="shared" si="14"/>
        <v>2.1344015003261578</v>
      </c>
      <c r="L67">
        <f t="shared" si="15"/>
        <v>15.858726553433605</v>
      </c>
      <c r="M67">
        <f t="shared" si="16"/>
        <v>4.3663292721735765</v>
      </c>
      <c r="N67">
        <f t="shared" si="20"/>
        <v>22.359457325933338</v>
      </c>
      <c r="O67">
        <f t="shared" si="17"/>
        <v>24.303757962971019</v>
      </c>
    </row>
    <row r="68" spans="2:15">
      <c r="B68">
        <f t="shared" si="21"/>
        <v>4</v>
      </c>
      <c r="C68">
        <f t="shared" si="10"/>
        <v>2.1344015003261578</v>
      </c>
      <c r="D68" s="81">
        <f t="shared" si="11"/>
        <v>9.2187677570069866</v>
      </c>
      <c r="E68" s="81">
        <f t="shared" si="12"/>
        <v>3.889185669505772</v>
      </c>
      <c r="F68" s="81">
        <f t="shared" si="18"/>
        <v>7.1171023990944233</v>
      </c>
      <c r="G68" s="81">
        <f t="shared" si="19"/>
        <v>22.359457325933342</v>
      </c>
      <c r="H68" s="81">
        <f t="shared" si="13"/>
        <v>24.303757962971023</v>
      </c>
      <c r="J68">
        <f t="shared" si="22"/>
        <v>4</v>
      </c>
      <c r="K68">
        <f t="shared" si="14"/>
        <v>2.1344015003261578</v>
      </c>
      <c r="L68">
        <f t="shared" si="15"/>
        <v>16.335870156101411</v>
      </c>
      <c r="M68">
        <f t="shared" si="16"/>
        <v>3.889185669505772</v>
      </c>
      <c r="N68">
        <f t="shared" si="20"/>
        <v>22.359457325933342</v>
      </c>
      <c r="O68">
        <f t="shared" si="17"/>
        <v>24.303757962971023</v>
      </c>
    </row>
    <row r="69" spans="2:15">
      <c r="B69">
        <f t="shared" si="21"/>
        <v>5</v>
      </c>
      <c r="C69">
        <f t="shared" si="10"/>
        <v>2.1344015003261578</v>
      </c>
      <c r="D69" s="81">
        <f t="shared" si="11"/>
        <v>9.7219552633644497</v>
      </c>
      <c r="E69" s="81">
        <f t="shared" si="12"/>
        <v>3.3859981631483089</v>
      </c>
      <c r="F69" s="81">
        <f t="shared" si="18"/>
        <v>7.1171023990944233</v>
      </c>
      <c r="G69" s="81">
        <f t="shared" si="19"/>
        <v>22.359457325933342</v>
      </c>
      <c r="H69" s="81">
        <f t="shared" si="13"/>
        <v>24.303757962971023</v>
      </c>
      <c r="J69">
        <f t="shared" si="22"/>
        <v>5</v>
      </c>
      <c r="K69">
        <f t="shared" si="14"/>
        <v>2.1344015003261578</v>
      </c>
      <c r="L69">
        <f t="shared" si="15"/>
        <v>16.839057662458874</v>
      </c>
      <c r="M69">
        <f t="shared" si="16"/>
        <v>3.3859981631483089</v>
      </c>
      <c r="N69">
        <f t="shared" si="20"/>
        <v>22.359457325933342</v>
      </c>
      <c r="O69">
        <f t="shared" si="17"/>
        <v>24.303757962971023</v>
      </c>
    </row>
    <row r="70" spans="2:15">
      <c r="B70">
        <f t="shared" si="21"/>
        <v>6</v>
      </c>
      <c r="C70">
        <f t="shared" si="10"/>
        <v>2.1344015003261578</v>
      </c>
      <c r="D70" s="81">
        <f t="shared" si="11"/>
        <v>10.25260822641072</v>
      </c>
      <c r="E70" s="81">
        <f t="shared" si="12"/>
        <v>2.8553452001020383</v>
      </c>
      <c r="F70" s="81">
        <f t="shared" si="18"/>
        <v>7.1171023990944233</v>
      </c>
      <c r="G70" s="81">
        <f t="shared" si="19"/>
        <v>22.359457325933338</v>
      </c>
      <c r="H70" s="81">
        <f t="shared" si="13"/>
        <v>24.303757962971019</v>
      </c>
      <c r="J70">
        <f t="shared" si="22"/>
        <v>6</v>
      </c>
      <c r="K70">
        <f t="shared" si="14"/>
        <v>2.1344015003261578</v>
      </c>
      <c r="L70">
        <f t="shared" si="15"/>
        <v>17.369710625505142</v>
      </c>
      <c r="M70">
        <f t="shared" si="16"/>
        <v>2.8553452001020383</v>
      </c>
      <c r="N70">
        <f t="shared" si="20"/>
        <v>22.359457325933338</v>
      </c>
      <c r="O70">
        <f t="shared" si="17"/>
        <v>24.303757962971019</v>
      </c>
    </row>
    <row r="71" spans="2:15">
      <c r="B71">
        <f t="shared" si="21"/>
        <v>7</v>
      </c>
      <c r="C71">
        <f t="shared" si="10"/>
        <v>2.1344015003261578</v>
      </c>
      <c r="D71" s="81">
        <f t="shared" si="11"/>
        <v>10.812225791696102</v>
      </c>
      <c r="E71" s="81">
        <f t="shared" si="12"/>
        <v>2.2957276348166569</v>
      </c>
      <c r="F71" s="81">
        <f t="shared" si="18"/>
        <v>7.1171023990944233</v>
      </c>
      <c r="G71" s="81">
        <f t="shared" si="19"/>
        <v>22.359457325933342</v>
      </c>
      <c r="H71" s="81">
        <f t="shared" si="13"/>
        <v>24.303757962971023</v>
      </c>
      <c r="J71">
        <f t="shared" si="22"/>
        <v>7</v>
      </c>
      <c r="K71">
        <f t="shared" si="14"/>
        <v>2.1344015003261578</v>
      </c>
      <c r="L71">
        <f t="shared" si="15"/>
        <v>17.929328190790525</v>
      </c>
      <c r="M71">
        <f t="shared" si="16"/>
        <v>2.2957276348166569</v>
      </c>
      <c r="N71">
        <f t="shared" si="20"/>
        <v>22.359457325933342</v>
      </c>
      <c r="O71">
        <f t="shared" si="17"/>
        <v>24.303757962971023</v>
      </c>
    </row>
    <row r="72" spans="2:15">
      <c r="B72">
        <f t="shared" si="21"/>
        <v>8</v>
      </c>
      <c r="C72">
        <f t="shared" si="10"/>
        <v>2.1344015003261578</v>
      </c>
      <c r="D72" s="81">
        <f t="shared" si="11"/>
        <v>11.402388932552117</v>
      </c>
      <c r="E72" s="81">
        <f t="shared" si="12"/>
        <v>1.7055644939606405</v>
      </c>
      <c r="F72" s="81">
        <f t="shared" si="18"/>
        <v>7.1171023990944233</v>
      </c>
      <c r="G72" s="81">
        <f t="shared" si="19"/>
        <v>22.359457325933338</v>
      </c>
      <c r="H72" s="81">
        <f t="shared" si="13"/>
        <v>24.303757962971019</v>
      </c>
      <c r="J72">
        <f t="shared" si="22"/>
        <v>8</v>
      </c>
      <c r="K72">
        <f t="shared" si="14"/>
        <v>2.1344015003261578</v>
      </c>
      <c r="L72">
        <f t="shared" si="15"/>
        <v>18.519491331646542</v>
      </c>
      <c r="M72">
        <f t="shared" si="16"/>
        <v>1.7055644939606405</v>
      </c>
      <c r="N72">
        <f t="shared" si="20"/>
        <v>22.359457325933338</v>
      </c>
      <c r="O72">
        <f t="shared" si="17"/>
        <v>24.303757962971019</v>
      </c>
    </row>
    <row r="73" spans="2:15">
      <c r="B73">
        <f t="shared" si="21"/>
        <v>9</v>
      </c>
      <c r="C73">
        <f t="shared" si="10"/>
        <v>2.1344015003261578</v>
      </c>
      <c r="D73" s="81">
        <f t="shared" si="11"/>
        <v>12.024764916492906</v>
      </c>
      <c r="E73" s="81">
        <f t="shared" si="12"/>
        <v>1.0831885100198515</v>
      </c>
      <c r="F73" s="81">
        <f t="shared" si="18"/>
        <v>7.1171023990944233</v>
      </c>
      <c r="G73" s="81">
        <f t="shared" si="19"/>
        <v>22.359457325933338</v>
      </c>
      <c r="H73" s="81">
        <f t="shared" si="13"/>
        <v>24.303757962971019</v>
      </c>
      <c r="J73">
        <f t="shared" si="22"/>
        <v>9</v>
      </c>
      <c r="K73">
        <f t="shared" si="14"/>
        <v>2.1344015003261578</v>
      </c>
      <c r="L73">
        <f t="shared" si="15"/>
        <v>19.14186731558733</v>
      </c>
      <c r="M73">
        <f t="shared" si="16"/>
        <v>1.0831885100198515</v>
      </c>
      <c r="N73">
        <f t="shared" si="20"/>
        <v>22.359457325933342</v>
      </c>
      <c r="O73">
        <f t="shared" si="17"/>
        <v>24.303757962971023</v>
      </c>
    </row>
    <row r="74" spans="2:15">
      <c r="B74">
        <f t="shared" si="21"/>
        <v>10</v>
      </c>
      <c r="C74">
        <f t="shared" si="10"/>
        <v>2.1344015003261578</v>
      </c>
      <c r="D74" s="81">
        <f t="shared" si="11"/>
        <v>12.681112015405965</v>
      </c>
      <c r="E74" s="81">
        <f t="shared" si="12"/>
        <v>0.42684141110679297</v>
      </c>
      <c r="F74" s="81">
        <f t="shared" si="18"/>
        <v>7.1171023990944233</v>
      </c>
      <c r="G74" s="81">
        <f t="shared" si="19"/>
        <v>22.359457325933338</v>
      </c>
      <c r="H74" s="81">
        <f t="shared" si="13"/>
        <v>24.303757962971019</v>
      </c>
      <c r="J74">
        <f t="shared" si="22"/>
        <v>10</v>
      </c>
      <c r="K74">
        <f t="shared" si="14"/>
        <v>2.1344015003261578</v>
      </c>
      <c r="L74">
        <f t="shared" si="15"/>
        <v>19.798214414500389</v>
      </c>
      <c r="M74">
        <f t="shared" si="16"/>
        <v>0.42684141110679297</v>
      </c>
      <c r="N74">
        <f t="shared" si="20"/>
        <v>22.359457325933342</v>
      </c>
      <c r="O74">
        <f t="shared" si="17"/>
        <v>24.303757962971023</v>
      </c>
    </row>
    <row r="75" spans="2:15">
      <c r="B75">
        <f t="shared" si="21"/>
        <v>11</v>
      </c>
      <c r="C75">
        <f t="shared" si="10"/>
        <v>2.1344015003261578</v>
      </c>
      <c r="D75">
        <f t="shared" si="11"/>
        <v>0</v>
      </c>
      <c r="E75">
        <f t="shared" si="12"/>
        <v>0</v>
      </c>
      <c r="F75" s="81">
        <f t="shared" si="18"/>
        <v>7.1171023990944233</v>
      </c>
      <c r="G75" s="81">
        <f t="shared" si="19"/>
        <v>9.2515038994205803</v>
      </c>
      <c r="H75" s="81">
        <f t="shared" si="13"/>
        <v>10.055982499370195</v>
      </c>
      <c r="J75">
        <f t="shared" si="22"/>
        <v>11</v>
      </c>
      <c r="K75">
        <f t="shared" si="14"/>
        <v>2.1344015003261578</v>
      </c>
      <c r="L75">
        <f t="shared" si="15"/>
        <v>7.1171023990944233</v>
      </c>
      <c r="M75">
        <f t="shared" si="16"/>
        <v>0</v>
      </c>
      <c r="N75">
        <f t="shared" si="20"/>
        <v>9.2515038994205803</v>
      </c>
      <c r="O75">
        <f t="shared" si="17"/>
        <v>10.055982499370195</v>
      </c>
    </row>
    <row r="76" spans="2:15">
      <c r="B76">
        <f t="shared" si="21"/>
        <v>12</v>
      </c>
      <c r="C76">
        <f t="shared" si="10"/>
        <v>2.1344015003261578</v>
      </c>
      <c r="D76">
        <f t="shared" si="11"/>
        <v>0</v>
      </c>
      <c r="E76">
        <f t="shared" si="12"/>
        <v>0</v>
      </c>
      <c r="F76" s="81">
        <f t="shared" si="18"/>
        <v>7.1171023990944233</v>
      </c>
      <c r="G76" s="81">
        <f t="shared" si="19"/>
        <v>9.2515038994205803</v>
      </c>
      <c r="H76" s="81">
        <f t="shared" si="13"/>
        <v>10.055982499370195</v>
      </c>
      <c r="J76">
        <f t="shared" si="22"/>
        <v>12</v>
      </c>
      <c r="K76">
        <f t="shared" si="14"/>
        <v>2.1344015003261578</v>
      </c>
      <c r="L76">
        <f t="shared" si="15"/>
        <v>7.1171023990944233</v>
      </c>
      <c r="M76">
        <f t="shared" si="16"/>
        <v>0</v>
      </c>
      <c r="N76">
        <f t="shared" si="20"/>
        <v>9.2515038994205803</v>
      </c>
      <c r="O76">
        <f t="shared" si="17"/>
        <v>10.055982499370195</v>
      </c>
    </row>
    <row r="77" spans="2:15">
      <c r="B77">
        <f t="shared" si="21"/>
        <v>13</v>
      </c>
      <c r="C77">
        <f t="shared" si="10"/>
        <v>2.1344015003261578</v>
      </c>
      <c r="D77">
        <f t="shared" si="11"/>
        <v>0</v>
      </c>
      <c r="E77">
        <f t="shared" si="12"/>
        <v>0</v>
      </c>
      <c r="F77" s="81">
        <f t="shared" si="18"/>
        <v>7.1171023990944233</v>
      </c>
      <c r="G77" s="81">
        <f t="shared" si="19"/>
        <v>9.2515038994205803</v>
      </c>
      <c r="H77" s="81">
        <f t="shared" si="13"/>
        <v>10.055982499370195</v>
      </c>
      <c r="J77">
        <f t="shared" si="22"/>
        <v>13</v>
      </c>
      <c r="K77">
        <f t="shared" si="14"/>
        <v>2.1344015003261578</v>
      </c>
      <c r="L77">
        <f t="shared" si="15"/>
        <v>7.1171023990944233</v>
      </c>
      <c r="M77">
        <f t="shared" si="16"/>
        <v>0</v>
      </c>
      <c r="N77">
        <f t="shared" si="20"/>
        <v>9.2515038994205803</v>
      </c>
      <c r="O77">
        <f t="shared" si="17"/>
        <v>10.055982499370195</v>
      </c>
    </row>
    <row r="78" spans="2:15">
      <c r="B78">
        <f t="shared" si="21"/>
        <v>14</v>
      </c>
      <c r="C78">
        <f t="shared" si="10"/>
        <v>2.1344015003261578</v>
      </c>
      <c r="D78">
        <f t="shared" si="11"/>
        <v>0</v>
      </c>
      <c r="E78">
        <f t="shared" si="12"/>
        <v>0</v>
      </c>
      <c r="F78" s="81">
        <f t="shared" si="18"/>
        <v>7.1171023990944233</v>
      </c>
      <c r="G78" s="81">
        <f t="shared" si="19"/>
        <v>9.2515038994205803</v>
      </c>
      <c r="H78" s="81">
        <f t="shared" si="13"/>
        <v>10.055982499370195</v>
      </c>
      <c r="J78">
        <f t="shared" si="22"/>
        <v>14</v>
      </c>
      <c r="K78">
        <f t="shared" si="14"/>
        <v>2.1344015003261578</v>
      </c>
      <c r="L78">
        <f t="shared" si="15"/>
        <v>7.1171023990944233</v>
      </c>
      <c r="M78">
        <f t="shared" si="16"/>
        <v>0</v>
      </c>
      <c r="N78">
        <f t="shared" si="20"/>
        <v>9.2515038994205803</v>
      </c>
      <c r="O78">
        <f t="shared" si="17"/>
        <v>10.055982499370195</v>
      </c>
    </row>
    <row r="79" spans="2:15">
      <c r="B79">
        <f t="shared" si="21"/>
        <v>15</v>
      </c>
      <c r="C79">
        <f t="shared" si="10"/>
        <v>2.1344015003261578</v>
      </c>
      <c r="D79">
        <f t="shared" si="11"/>
        <v>0</v>
      </c>
      <c r="E79">
        <f t="shared" si="12"/>
        <v>0</v>
      </c>
      <c r="F79" s="81">
        <f t="shared" si="18"/>
        <v>7.1171023990944233</v>
      </c>
      <c r="G79" s="81">
        <f t="shared" si="19"/>
        <v>9.2515038994205803</v>
      </c>
      <c r="H79" s="81">
        <f t="shared" si="13"/>
        <v>10.055982499370195</v>
      </c>
      <c r="J79">
        <f t="shared" si="22"/>
        <v>15</v>
      </c>
      <c r="K79">
        <f t="shared" si="14"/>
        <v>2.1344015003261578</v>
      </c>
      <c r="L79">
        <f t="shared" si="15"/>
        <v>7.1171023990944233</v>
      </c>
      <c r="M79">
        <f t="shared" si="16"/>
        <v>0</v>
      </c>
      <c r="N79">
        <f t="shared" si="20"/>
        <v>9.2515038994205803</v>
      </c>
      <c r="O79">
        <f t="shared" si="17"/>
        <v>10.055982499370195</v>
      </c>
    </row>
    <row r="80" spans="2:15">
      <c r="B80">
        <f t="shared" si="21"/>
        <v>16</v>
      </c>
      <c r="C80">
        <f t="shared" si="10"/>
        <v>2.1344015003261578</v>
      </c>
      <c r="D80">
        <f t="shared" si="11"/>
        <v>0</v>
      </c>
      <c r="E80">
        <f t="shared" si="12"/>
        <v>0</v>
      </c>
      <c r="F80" s="81">
        <f t="shared" si="18"/>
        <v>7.1171023990944233</v>
      </c>
      <c r="G80" s="81">
        <f t="shared" si="19"/>
        <v>9.2515038994205803</v>
      </c>
      <c r="H80" s="81">
        <f t="shared" si="13"/>
        <v>10.055982499370195</v>
      </c>
      <c r="J80">
        <f t="shared" si="22"/>
        <v>16</v>
      </c>
      <c r="K80">
        <f t="shared" si="14"/>
        <v>2.1344015003261578</v>
      </c>
      <c r="L80">
        <f t="shared" si="15"/>
        <v>7.1171023990944233</v>
      </c>
      <c r="M80">
        <f t="shared" si="16"/>
        <v>0</v>
      </c>
      <c r="N80">
        <f t="shared" si="20"/>
        <v>9.2515038994205803</v>
      </c>
      <c r="O80">
        <f t="shared" si="17"/>
        <v>10.055982499370195</v>
      </c>
    </row>
    <row r="81" spans="2:15">
      <c r="B81">
        <f t="shared" si="21"/>
        <v>17</v>
      </c>
      <c r="C81">
        <f t="shared" si="10"/>
        <v>2.1344015003261578</v>
      </c>
      <c r="D81">
        <f t="shared" si="11"/>
        <v>0</v>
      </c>
      <c r="E81">
        <f t="shared" si="12"/>
        <v>0</v>
      </c>
      <c r="F81" s="81">
        <f t="shared" si="18"/>
        <v>7.1171023990944233</v>
      </c>
      <c r="G81" s="81">
        <f t="shared" si="19"/>
        <v>9.2515038994205803</v>
      </c>
      <c r="H81" s="81">
        <f t="shared" si="13"/>
        <v>10.055982499370195</v>
      </c>
      <c r="J81">
        <f t="shared" si="22"/>
        <v>17</v>
      </c>
      <c r="K81">
        <f t="shared" si="14"/>
        <v>2.1344015003261578</v>
      </c>
      <c r="L81">
        <f t="shared" si="15"/>
        <v>7.1171023990944233</v>
      </c>
      <c r="M81">
        <f t="shared" si="16"/>
        <v>0</v>
      </c>
      <c r="N81">
        <f t="shared" si="20"/>
        <v>9.2515038994205803</v>
      </c>
      <c r="O81">
        <f t="shared" si="17"/>
        <v>10.055982499370195</v>
      </c>
    </row>
    <row r="82" spans="2:15">
      <c r="B82">
        <f t="shared" si="21"/>
        <v>18</v>
      </c>
      <c r="C82">
        <f t="shared" si="10"/>
        <v>2.1344015003261578</v>
      </c>
      <c r="D82">
        <f t="shared" si="11"/>
        <v>0</v>
      </c>
      <c r="E82">
        <f t="shared" si="12"/>
        <v>0</v>
      </c>
      <c r="F82" s="81">
        <f t="shared" si="18"/>
        <v>7.1171023990944233</v>
      </c>
      <c r="G82" s="81">
        <f t="shared" si="19"/>
        <v>9.2515038994205803</v>
      </c>
      <c r="H82" s="81">
        <f t="shared" si="13"/>
        <v>10.055982499370195</v>
      </c>
      <c r="J82">
        <f t="shared" si="22"/>
        <v>18</v>
      </c>
      <c r="K82">
        <f t="shared" si="14"/>
        <v>2.1344015003261578</v>
      </c>
      <c r="L82">
        <f t="shared" si="15"/>
        <v>7.1171023990944233</v>
      </c>
      <c r="M82">
        <f t="shared" si="16"/>
        <v>0</v>
      </c>
      <c r="N82">
        <f t="shared" si="20"/>
        <v>9.2515038994205803</v>
      </c>
      <c r="O82">
        <f t="shared" si="17"/>
        <v>10.055982499370195</v>
      </c>
    </row>
    <row r="83" spans="2:15">
      <c r="B83">
        <f t="shared" si="21"/>
        <v>19</v>
      </c>
      <c r="C83">
        <f t="shared" si="10"/>
        <v>2.1344015003261578</v>
      </c>
      <c r="D83">
        <f t="shared" si="11"/>
        <v>0</v>
      </c>
      <c r="E83">
        <f t="shared" si="12"/>
        <v>0</v>
      </c>
      <c r="F83" s="81">
        <f t="shared" si="18"/>
        <v>7.1171023990944233</v>
      </c>
      <c r="G83" s="81">
        <f t="shared" si="19"/>
        <v>9.2515038994205803</v>
      </c>
      <c r="H83" s="81">
        <f t="shared" si="13"/>
        <v>10.055982499370195</v>
      </c>
      <c r="J83">
        <f t="shared" si="22"/>
        <v>19</v>
      </c>
      <c r="K83">
        <f t="shared" si="14"/>
        <v>2.1344015003261578</v>
      </c>
      <c r="L83">
        <f t="shared" si="15"/>
        <v>7.1171023990944233</v>
      </c>
      <c r="M83">
        <f t="shared" si="16"/>
        <v>0</v>
      </c>
      <c r="N83">
        <f t="shared" si="20"/>
        <v>9.2515038994205803</v>
      </c>
      <c r="O83">
        <f t="shared" si="17"/>
        <v>10.055982499370195</v>
      </c>
    </row>
    <row r="84" spans="2:15">
      <c r="B84">
        <f t="shared" si="21"/>
        <v>20</v>
      </c>
      <c r="C84">
        <f t="shared" si="10"/>
        <v>2.1344015003261578</v>
      </c>
      <c r="D84">
        <f t="shared" si="11"/>
        <v>0</v>
      </c>
      <c r="E84">
        <f t="shared" si="12"/>
        <v>0</v>
      </c>
      <c r="F84" s="81">
        <f t="shared" si="18"/>
        <v>7.1171023990944233</v>
      </c>
      <c r="G84" s="81">
        <f t="shared" si="19"/>
        <v>9.2515038994205803</v>
      </c>
      <c r="H84" s="81">
        <f t="shared" si="13"/>
        <v>10.055982499370195</v>
      </c>
      <c r="J84">
        <f t="shared" si="22"/>
        <v>20</v>
      </c>
      <c r="K84">
        <f t="shared" si="14"/>
        <v>2.1344015003261578</v>
      </c>
      <c r="L84">
        <f t="shared" si="15"/>
        <v>7.1171023990944233</v>
      </c>
      <c r="M84">
        <f t="shared" si="16"/>
        <v>0</v>
      </c>
      <c r="N84">
        <f t="shared" si="20"/>
        <v>9.2515038994205803</v>
      </c>
      <c r="O84">
        <f t="shared" si="17"/>
        <v>10.055982499370195</v>
      </c>
    </row>
    <row r="85" spans="2:15">
      <c r="B85">
        <f t="shared" si="21"/>
        <v>21</v>
      </c>
      <c r="C85">
        <f t="shared" si="10"/>
        <v>2.1344015003261578</v>
      </c>
      <c r="D85">
        <f t="shared" si="11"/>
        <v>0</v>
      </c>
      <c r="E85">
        <f t="shared" si="12"/>
        <v>0</v>
      </c>
      <c r="F85" s="81">
        <f t="shared" si="18"/>
        <v>7.1171023990944233</v>
      </c>
      <c r="G85" s="81">
        <f t="shared" si="19"/>
        <v>9.2515038994205803</v>
      </c>
      <c r="H85" s="81">
        <f t="shared" si="13"/>
        <v>10.055982499370195</v>
      </c>
      <c r="J85">
        <f t="shared" si="22"/>
        <v>21</v>
      </c>
      <c r="K85">
        <f t="shared" si="14"/>
        <v>2.1344015003261578</v>
      </c>
      <c r="L85">
        <f t="shared" si="15"/>
        <v>7.1171023990944233</v>
      </c>
      <c r="M85">
        <f t="shared" si="16"/>
        <v>0</v>
      </c>
      <c r="N85">
        <f t="shared" si="20"/>
        <v>9.2515038994205803</v>
      </c>
      <c r="O85">
        <f t="shared" si="17"/>
        <v>10.055982499370195</v>
      </c>
    </row>
    <row r="86" spans="2:15">
      <c r="B86">
        <f t="shared" si="21"/>
        <v>22</v>
      </c>
      <c r="C86">
        <f t="shared" si="10"/>
        <v>2.1344015003261578</v>
      </c>
      <c r="D86">
        <f t="shared" si="11"/>
        <v>0</v>
      </c>
      <c r="E86">
        <f t="shared" si="12"/>
        <v>0</v>
      </c>
      <c r="F86" s="81">
        <f t="shared" si="18"/>
        <v>7.1171023990944233</v>
      </c>
      <c r="G86" s="81">
        <f t="shared" si="19"/>
        <v>9.2515038994205803</v>
      </c>
      <c r="H86" s="81">
        <f t="shared" si="13"/>
        <v>10.055982499370195</v>
      </c>
      <c r="J86">
        <f t="shared" si="22"/>
        <v>22</v>
      </c>
      <c r="K86">
        <f t="shared" si="14"/>
        <v>2.1344015003261578</v>
      </c>
      <c r="L86">
        <f t="shared" si="15"/>
        <v>7.1171023990944233</v>
      </c>
      <c r="M86">
        <f t="shared" si="16"/>
        <v>0</v>
      </c>
      <c r="N86">
        <f t="shared" si="20"/>
        <v>9.2515038994205803</v>
      </c>
      <c r="O86">
        <f t="shared" si="17"/>
        <v>10.055982499370195</v>
      </c>
    </row>
    <row r="87" spans="2:15">
      <c r="B87">
        <f t="shared" si="21"/>
        <v>23</v>
      </c>
      <c r="C87">
        <f t="shared" si="10"/>
        <v>2.1344015003261578</v>
      </c>
      <c r="D87">
        <f t="shared" si="11"/>
        <v>0</v>
      </c>
      <c r="E87">
        <f t="shared" si="12"/>
        <v>0</v>
      </c>
      <c r="F87" s="81">
        <f t="shared" si="18"/>
        <v>7.1171023990944233</v>
      </c>
      <c r="G87" s="81">
        <f t="shared" si="19"/>
        <v>9.2515038994205803</v>
      </c>
      <c r="H87" s="81">
        <f t="shared" si="13"/>
        <v>10.055982499370195</v>
      </c>
      <c r="J87">
        <f t="shared" si="22"/>
        <v>23</v>
      </c>
      <c r="K87">
        <f t="shared" si="14"/>
        <v>2.1344015003261578</v>
      </c>
      <c r="L87">
        <f t="shared" si="15"/>
        <v>7.1171023990944233</v>
      </c>
      <c r="M87">
        <f t="shared" si="16"/>
        <v>0</v>
      </c>
      <c r="N87">
        <f t="shared" si="20"/>
        <v>9.2515038994205803</v>
      </c>
      <c r="O87">
        <f t="shared" si="17"/>
        <v>10.055982499370195</v>
      </c>
    </row>
    <row r="88" spans="2:15">
      <c r="B88">
        <f t="shared" si="21"/>
        <v>24</v>
      </c>
      <c r="C88">
        <f t="shared" si="10"/>
        <v>2.1344015003261578</v>
      </c>
      <c r="D88">
        <f t="shared" si="11"/>
        <v>0</v>
      </c>
      <c r="E88">
        <f t="shared" si="12"/>
        <v>0</v>
      </c>
      <c r="F88" s="81">
        <f t="shared" si="18"/>
        <v>7.1171023990944233</v>
      </c>
      <c r="G88" s="81">
        <f t="shared" si="19"/>
        <v>9.2515038994205803</v>
      </c>
      <c r="H88" s="81">
        <f t="shared" si="13"/>
        <v>10.055982499370195</v>
      </c>
      <c r="J88">
        <f t="shared" si="22"/>
        <v>24</v>
      </c>
      <c r="K88">
        <f t="shared" si="14"/>
        <v>2.1344015003261578</v>
      </c>
      <c r="L88">
        <f t="shared" si="15"/>
        <v>7.1171023990944233</v>
      </c>
      <c r="M88">
        <f t="shared" si="16"/>
        <v>0</v>
      </c>
      <c r="N88">
        <f t="shared" si="20"/>
        <v>9.2515038994205803</v>
      </c>
      <c r="O88">
        <f t="shared" si="17"/>
        <v>10.055982499370195</v>
      </c>
    </row>
    <row r="89" spans="2:15">
      <c r="B89">
        <f t="shared" si="21"/>
        <v>25</v>
      </c>
      <c r="C89">
        <f t="shared" si="10"/>
        <v>2.1344015003261578</v>
      </c>
      <c r="D89">
        <f t="shared" si="11"/>
        <v>0</v>
      </c>
      <c r="E89">
        <f t="shared" si="12"/>
        <v>0</v>
      </c>
      <c r="F89" s="81">
        <f t="shared" si="18"/>
        <v>7.1171023990944233</v>
      </c>
      <c r="G89" s="81">
        <f t="shared" si="19"/>
        <v>9.2515038994205803</v>
      </c>
      <c r="H89" s="81">
        <f t="shared" si="13"/>
        <v>10.055982499370195</v>
      </c>
      <c r="J89">
        <v>25</v>
      </c>
      <c r="K89">
        <f t="shared" si="14"/>
        <v>2.1344015003261578</v>
      </c>
      <c r="L89">
        <f t="shared" si="15"/>
        <v>7.1171023990944233</v>
      </c>
      <c r="M89">
        <f t="shared" si="16"/>
        <v>0</v>
      </c>
      <c r="N89">
        <f t="shared" si="20"/>
        <v>9.2515038994205803</v>
      </c>
      <c r="O89">
        <f t="shared" si="17"/>
        <v>10.055982499370195</v>
      </c>
    </row>
    <row r="90" spans="2:15">
      <c r="B90" t="s">
        <v>16</v>
      </c>
      <c r="F90" s="81"/>
      <c r="G90" s="82">
        <f>-PMT(10%,20,NPV(10%,G65:G89))</f>
        <v>19.324336551294451</v>
      </c>
      <c r="H90" s="82">
        <f>-PMT(10%,20,NPV(10%,H65:H89))</f>
        <v>21.004713642711369</v>
      </c>
      <c r="J90" t="s">
        <v>16</v>
      </c>
      <c r="N90">
        <f>-PMT(10%,20,NPV(10%,N65:N89))</f>
        <v>19.324336551294451</v>
      </c>
      <c r="O90">
        <f>-PMT(10%,20,NPV(10%,O65:O89))</f>
        <v>21.004713642711366</v>
      </c>
    </row>
    <row r="92" spans="2:15">
      <c r="F92" s="81">
        <f t="shared" ref="F92:F110" si="23">D65+F65</f>
        <v>14.977248921644986</v>
      </c>
    </row>
    <row r="93" spans="2:15">
      <c r="F93" s="81">
        <f t="shared" si="23"/>
        <v>15.406278877983816</v>
      </c>
    </row>
    <row r="94" spans="2:15">
      <c r="F94" s="81">
        <f t="shared" si="23"/>
        <v>15.858726553433605</v>
      </c>
    </row>
    <row r="95" spans="2:15">
      <c r="F95" s="81">
        <f t="shared" si="23"/>
        <v>16.335870156101411</v>
      </c>
    </row>
    <row r="96" spans="2:15">
      <c r="F96" s="81">
        <f t="shared" si="23"/>
        <v>16.839057662458874</v>
      </c>
    </row>
    <row r="97" spans="6:6">
      <c r="F97" s="81">
        <f t="shared" si="23"/>
        <v>17.369710625505142</v>
      </c>
    </row>
    <row r="98" spans="6:6">
      <c r="F98" s="81">
        <f t="shared" si="23"/>
        <v>17.929328190790525</v>
      </c>
    </row>
    <row r="99" spans="6:6">
      <c r="F99" s="81">
        <f t="shared" si="23"/>
        <v>18.519491331646542</v>
      </c>
    </row>
    <row r="100" spans="6:6">
      <c r="F100" s="81">
        <f t="shared" si="23"/>
        <v>19.14186731558733</v>
      </c>
    </row>
    <row r="101" spans="6:6">
      <c r="F101" s="81">
        <f t="shared" si="23"/>
        <v>19.798214414500389</v>
      </c>
    </row>
    <row r="102" spans="6:6">
      <c r="F102" s="81">
        <f t="shared" si="23"/>
        <v>7.1171023990944233</v>
      </c>
    </row>
    <row r="103" spans="6:6">
      <c r="F103" s="81">
        <f t="shared" si="23"/>
        <v>7.1171023990944233</v>
      </c>
    </row>
    <row r="104" spans="6:6">
      <c r="F104" s="81">
        <f t="shared" si="23"/>
        <v>7.1171023990944233</v>
      </c>
    </row>
    <row r="105" spans="6:6">
      <c r="F105" s="81">
        <f t="shared" si="23"/>
        <v>7.1171023990944233</v>
      </c>
    </row>
    <row r="106" spans="6:6">
      <c r="F106" s="81">
        <f t="shared" si="23"/>
        <v>7.1171023990944233</v>
      </c>
    </row>
    <row r="107" spans="6:6">
      <c r="F107" s="81">
        <f t="shared" si="23"/>
        <v>7.1171023990944233</v>
      </c>
    </row>
    <row r="108" spans="6:6">
      <c r="F108" s="81">
        <f t="shared" si="23"/>
        <v>7.1171023990944233</v>
      </c>
    </row>
    <row r="109" spans="6:6">
      <c r="F109" s="81">
        <f t="shared" si="23"/>
        <v>7.1171023990944233</v>
      </c>
    </row>
    <row r="110" spans="6:6">
      <c r="F110" s="81">
        <f t="shared" si="23"/>
        <v>7.1171023990944233</v>
      </c>
    </row>
    <row r="111" spans="6:6">
      <c r="F111" s="81">
        <f t="shared" ref="F111" si="24">D89+F89</f>
        <v>7.1171023990944233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7"/>
  <sheetViews>
    <sheetView topLeftCell="C1" workbookViewId="0">
      <selection activeCell="E4" sqref="E4"/>
    </sheetView>
  </sheetViews>
  <sheetFormatPr baseColWidth="10" defaultColWidth="8.83203125" defaultRowHeight="15" x14ac:dyDescent="0"/>
  <cols>
    <col min="1" max="1" width="34.5" bestFit="1" customWidth="1"/>
    <col min="2" max="3" width="11.83203125" bestFit="1" customWidth="1"/>
    <col min="4" max="4" width="13.83203125" bestFit="1" customWidth="1"/>
    <col min="5" max="5" width="15.33203125" bestFit="1" customWidth="1"/>
    <col min="6" max="6" width="11.83203125" bestFit="1" customWidth="1"/>
    <col min="7" max="7" width="21.6640625" bestFit="1" customWidth="1"/>
    <col min="8" max="8" width="14.33203125" bestFit="1" customWidth="1"/>
    <col min="9" max="9" width="38" bestFit="1" customWidth="1"/>
    <col min="10" max="10" width="20.33203125" bestFit="1" customWidth="1"/>
    <col min="11" max="11" width="18" bestFit="1" customWidth="1"/>
    <col min="12" max="12" width="6.83203125" bestFit="1" customWidth="1"/>
  </cols>
  <sheetData>
    <row r="1" spans="3:5">
      <c r="C1" s="85" t="s">
        <v>70</v>
      </c>
      <c r="D1" s="85" t="s">
        <v>71</v>
      </c>
      <c r="E1" s="85" t="s">
        <v>72</v>
      </c>
    </row>
    <row r="2" spans="3:5">
      <c r="C2" t="s">
        <v>61</v>
      </c>
      <c r="D2" t="s">
        <v>73</v>
      </c>
      <c r="E2" s="86">
        <v>0.16400000000000001</v>
      </c>
    </row>
    <row r="3" spans="3:5">
      <c r="C3" t="s">
        <v>62</v>
      </c>
      <c r="D3" t="s">
        <v>67</v>
      </c>
      <c r="E3" s="86">
        <v>0.16700000000000001</v>
      </c>
    </row>
    <row r="4" spans="3:5">
      <c r="C4" t="s">
        <v>64</v>
      </c>
      <c r="D4" t="s">
        <v>65</v>
      </c>
      <c r="E4" s="86">
        <v>0.16800000000000001</v>
      </c>
    </row>
    <row r="5" spans="3:5">
      <c r="C5" t="s">
        <v>63</v>
      </c>
      <c r="D5" t="s">
        <v>66</v>
      </c>
      <c r="E5" s="86">
        <v>0.157</v>
      </c>
    </row>
    <row r="6" spans="3:5">
      <c r="C6" t="s">
        <v>68</v>
      </c>
      <c r="D6" t="s">
        <v>69</v>
      </c>
      <c r="E6" s="86">
        <v>0.159</v>
      </c>
    </row>
    <row r="7" spans="3:5">
      <c r="E7" s="87">
        <f>AVERAGE(E2:E6)</f>
        <v>0.16300000000000001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1"/>
  <sheetViews>
    <sheetView showGridLines="0" tabSelected="1" workbookViewId="0">
      <selection activeCell="F7" sqref="F7"/>
    </sheetView>
  </sheetViews>
  <sheetFormatPr baseColWidth="10" defaultColWidth="8.83203125" defaultRowHeight="15" x14ac:dyDescent="0"/>
  <cols>
    <col min="2" max="2" width="34.5" bestFit="1" customWidth="1"/>
    <col min="3" max="3" width="10.33203125" bestFit="1" customWidth="1"/>
    <col min="4" max="4" width="14.33203125" bestFit="1" customWidth="1"/>
    <col min="5" max="5" width="15.1640625" bestFit="1" customWidth="1"/>
    <col min="6" max="6" width="16.6640625" bestFit="1" customWidth="1"/>
    <col min="7" max="7" width="17.33203125" bestFit="1" customWidth="1"/>
    <col min="8" max="8" width="21.6640625" bestFit="1" customWidth="1"/>
    <col min="9" max="9" width="15.6640625" bestFit="1" customWidth="1"/>
    <col min="10" max="10" width="39.1640625" bestFit="1" customWidth="1"/>
    <col min="11" max="11" width="20.33203125" bestFit="1" customWidth="1"/>
    <col min="12" max="12" width="19.1640625" bestFit="1" customWidth="1"/>
    <col min="13" max="13" width="8.6640625" bestFit="1" customWidth="1"/>
    <col min="14" max="14" width="17.33203125" bestFit="1" customWidth="1"/>
    <col min="15" max="15" width="17.83203125" bestFit="1" customWidth="1"/>
  </cols>
  <sheetData>
    <row r="1" spans="2:13">
      <c r="H1" s="52"/>
      <c r="I1" s="138"/>
    </row>
    <row r="2" spans="2:13">
      <c r="B2" s="28" t="s">
        <v>21</v>
      </c>
      <c r="C2" s="14"/>
      <c r="E2" s="28" t="s">
        <v>23</v>
      </c>
      <c r="F2" s="166" t="s">
        <v>86</v>
      </c>
      <c r="H2" s="28" t="s">
        <v>44</v>
      </c>
      <c r="I2" s="147" t="s">
        <v>33</v>
      </c>
      <c r="J2" t="s">
        <v>45</v>
      </c>
      <c r="K2" t="s">
        <v>46</v>
      </c>
    </row>
    <row r="3" spans="2:13">
      <c r="B3" s="48" t="s">
        <v>22</v>
      </c>
      <c r="C3" s="131">
        <f ca="1">I15</f>
        <v>2391940.5471099257</v>
      </c>
      <c r="E3" s="50" t="s">
        <v>24</v>
      </c>
      <c r="F3" s="136">
        <f ca="1">L23</f>
        <v>62879.108206648882</v>
      </c>
      <c r="H3" s="48" t="s">
        <v>34</v>
      </c>
      <c r="I3" s="121">
        <v>2000000</v>
      </c>
    </row>
    <row r="4" spans="2:13">
      <c r="B4" s="48" t="s">
        <v>17</v>
      </c>
      <c r="C4" s="132">
        <v>0.75</v>
      </c>
      <c r="H4" s="48" t="s">
        <v>35</v>
      </c>
      <c r="I4" s="121">
        <f>I3*80%*J4</f>
        <v>24000</v>
      </c>
      <c r="J4" s="72">
        <v>1.4999999999999999E-2</v>
      </c>
      <c r="K4" t="s">
        <v>47</v>
      </c>
    </row>
    <row r="5" spans="2:13">
      <c r="B5" s="50" t="s">
        <v>3</v>
      </c>
      <c r="C5" s="133">
        <f>1-C4</f>
        <v>0.25</v>
      </c>
      <c r="E5" s="28" t="s">
        <v>25</v>
      </c>
      <c r="F5" s="14"/>
      <c r="H5" s="48" t="s">
        <v>74</v>
      </c>
      <c r="I5" s="121">
        <f>I3*80%*J5</f>
        <v>14399.999999999998</v>
      </c>
      <c r="J5" s="72">
        <v>8.9999999999999993E-3</v>
      </c>
      <c r="K5" t="s">
        <v>47</v>
      </c>
    </row>
    <row r="6" spans="2:13">
      <c r="E6" s="50" t="s">
        <v>75</v>
      </c>
      <c r="F6" s="125">
        <f>1000*(24*365)*0.17</f>
        <v>1489200</v>
      </c>
      <c r="H6" s="48" t="s">
        <v>37</v>
      </c>
      <c r="I6" s="121">
        <f>I3*J6*80%</f>
        <v>0</v>
      </c>
      <c r="J6" s="71">
        <v>0</v>
      </c>
      <c r="K6" t="s">
        <v>47</v>
      </c>
    </row>
    <row r="7" spans="2:13">
      <c r="B7" s="28" t="s">
        <v>27</v>
      </c>
      <c r="C7" s="14"/>
      <c r="H7" s="48" t="s">
        <v>38</v>
      </c>
      <c r="I7" s="134">
        <f>SUM(I3:I6)</f>
        <v>2038400</v>
      </c>
      <c r="J7" s="66"/>
    </row>
    <row r="8" spans="2:13">
      <c r="B8" s="117" t="s">
        <v>17</v>
      </c>
      <c r="C8" s="58"/>
      <c r="H8" s="48"/>
      <c r="I8" s="58"/>
    </row>
    <row r="9" spans="2:13">
      <c r="B9" s="127" t="s">
        <v>0</v>
      </c>
      <c r="C9" s="128">
        <v>7.4999999999999997E-3</v>
      </c>
      <c r="D9" s="66"/>
      <c r="E9" s="145" t="s">
        <v>17</v>
      </c>
      <c r="F9" s="165">
        <f ca="1">C3*C4</f>
        <v>1793955.4103324441</v>
      </c>
      <c r="G9" s="66"/>
      <c r="H9" s="48" t="s">
        <v>39</v>
      </c>
      <c r="I9" s="121">
        <v>150000</v>
      </c>
      <c r="J9" s="66" t="s">
        <v>50</v>
      </c>
      <c r="K9" s="66"/>
      <c r="L9" t="s">
        <v>39</v>
      </c>
      <c r="M9" s="66"/>
    </row>
    <row r="10" spans="2:13">
      <c r="B10" s="127" t="s">
        <v>1</v>
      </c>
      <c r="C10" s="128">
        <v>4.5999999999999999E-2</v>
      </c>
      <c r="D10" s="66"/>
      <c r="E10" s="127"/>
      <c r="F10" s="17"/>
      <c r="G10" s="66"/>
      <c r="H10" s="48" t="s">
        <v>40</v>
      </c>
      <c r="I10" s="121">
        <v>60000</v>
      </c>
      <c r="J10" s="66" t="s">
        <v>51</v>
      </c>
      <c r="K10" s="66"/>
      <c r="L10" s="66" t="s">
        <v>53</v>
      </c>
      <c r="M10" s="66">
        <v>50000</v>
      </c>
    </row>
    <row r="11" spans="2:13">
      <c r="B11" s="129" t="s">
        <v>2</v>
      </c>
      <c r="C11" s="130">
        <f>SUM(C9:C10)</f>
        <v>5.3499999999999999E-2</v>
      </c>
      <c r="D11" s="66"/>
      <c r="E11" s="148" t="s">
        <v>3</v>
      </c>
      <c r="F11" s="57">
        <f ca="1">C3*C5</f>
        <v>597985.13677748141</v>
      </c>
      <c r="G11" s="66"/>
      <c r="H11" s="48" t="s">
        <v>41</v>
      </c>
      <c r="I11" s="121">
        <f>I7*J11</f>
        <v>27518.400000000001</v>
      </c>
      <c r="J11" s="72">
        <v>1.35E-2</v>
      </c>
      <c r="K11" s="66" t="s">
        <v>48</v>
      </c>
      <c r="L11" s="66" t="s">
        <v>54</v>
      </c>
      <c r="M11" s="66">
        <v>50000</v>
      </c>
    </row>
    <row r="12" spans="2:13">
      <c r="B12" s="66"/>
      <c r="C12" s="72"/>
      <c r="D12" s="66"/>
      <c r="E12" s="127" t="s">
        <v>19</v>
      </c>
      <c r="F12" s="17">
        <f ca="1">F11*C14*0.75</f>
        <v>76243.104939128883</v>
      </c>
      <c r="G12" s="66"/>
      <c r="H12" s="48" t="s">
        <v>42</v>
      </c>
      <c r="I12" s="121">
        <f ca="1">Drawdown!C26</f>
        <v>53233.707748290166</v>
      </c>
      <c r="J12" s="66" t="s">
        <v>59</v>
      </c>
      <c r="K12" s="66"/>
      <c r="L12" s="66" t="s">
        <v>55</v>
      </c>
      <c r="M12" s="66">
        <v>100000</v>
      </c>
    </row>
    <row r="13" spans="2:13">
      <c r="B13" s="145" t="s">
        <v>3</v>
      </c>
      <c r="C13" s="135"/>
      <c r="D13" s="66"/>
      <c r="E13" s="167" t="s">
        <v>20</v>
      </c>
      <c r="F13" s="60">
        <f ca="1">F11+F12</f>
        <v>674228.24171661027</v>
      </c>
      <c r="G13" s="66"/>
      <c r="H13" s="48" t="s">
        <v>43</v>
      </c>
      <c r="I13" s="121">
        <f ca="1">C3*C4*J13</f>
        <v>62788.439361635552</v>
      </c>
      <c r="J13" s="72">
        <v>3.5000000000000003E-2</v>
      </c>
      <c r="K13" s="66" t="s">
        <v>49</v>
      </c>
      <c r="L13" s="66" t="s">
        <v>56</v>
      </c>
      <c r="M13" s="66">
        <f>I3*0.02</f>
        <v>40000</v>
      </c>
    </row>
    <row r="14" spans="2:13">
      <c r="B14" s="129" t="s">
        <v>11</v>
      </c>
      <c r="C14" s="133">
        <v>0.17</v>
      </c>
      <c r="D14" s="66"/>
      <c r="E14" s="66"/>
      <c r="F14" s="66"/>
      <c r="G14" s="66"/>
      <c r="H14" s="127"/>
      <c r="I14" s="131"/>
      <c r="J14" s="66"/>
      <c r="K14" s="66"/>
      <c r="L14" s="66" t="s">
        <v>57</v>
      </c>
      <c r="M14" s="66">
        <v>30000</v>
      </c>
    </row>
    <row r="15" spans="2:13" ht="16" thickBot="1">
      <c r="B15" s="66"/>
      <c r="C15" s="72"/>
      <c r="D15" s="66"/>
      <c r="E15" s="137" t="s">
        <v>6</v>
      </c>
      <c r="F15" s="134">
        <v>95</v>
      </c>
      <c r="G15" s="66"/>
      <c r="H15" s="59" t="s">
        <v>2</v>
      </c>
      <c r="I15" s="168">
        <f ca="1">SUM(I7:I14)</f>
        <v>2391940.5471099257</v>
      </c>
      <c r="J15" s="66"/>
      <c r="K15" s="66"/>
      <c r="L15" s="66"/>
      <c r="M15" s="66">
        <f>SUM(M10:M14)</f>
        <v>270000</v>
      </c>
    </row>
    <row r="16" spans="2:13" ht="16" thickTop="1">
      <c r="B16" s="66"/>
      <c r="C16" s="66"/>
      <c r="D16" s="66"/>
      <c r="E16" s="66"/>
      <c r="F16" s="66"/>
      <c r="G16" s="66"/>
      <c r="H16" s="66"/>
      <c r="I16" s="66"/>
      <c r="J16" s="66">
        <f ca="1">I15+F12</f>
        <v>2468183.6520490544</v>
      </c>
      <c r="L16" s="66"/>
      <c r="M16" s="66"/>
    </row>
    <row r="17" spans="2:21">
      <c r="B17" s="145" t="s">
        <v>28</v>
      </c>
      <c r="C17" s="146"/>
      <c r="D17" s="146"/>
      <c r="E17" s="146"/>
      <c r="F17" s="146"/>
      <c r="G17" s="146"/>
      <c r="H17" s="146"/>
      <c r="I17" s="147"/>
      <c r="J17" s="66">
        <f ca="1">F9*86</f>
        <v>154280165.28859019</v>
      </c>
      <c r="K17" s="66">
        <f ca="1">F9*C11*1.33</f>
        <v>127648.89722220507</v>
      </c>
      <c r="L17" s="66"/>
      <c r="M17" s="66">
        <f>2853000/50</f>
        <v>57060</v>
      </c>
      <c r="N17" s="66"/>
      <c r="O17" s="66"/>
      <c r="P17" s="66"/>
      <c r="Q17" s="66"/>
      <c r="R17" s="66"/>
      <c r="S17" s="66"/>
      <c r="T17" s="66"/>
      <c r="U17" s="66"/>
    </row>
    <row r="18" spans="2:21">
      <c r="B18" s="148" t="s">
        <v>30</v>
      </c>
      <c r="C18" s="149" t="s">
        <v>7</v>
      </c>
      <c r="D18" s="149" t="s">
        <v>8</v>
      </c>
      <c r="E18" s="149" t="s">
        <v>12</v>
      </c>
      <c r="F18" s="118" t="s">
        <v>4</v>
      </c>
      <c r="G18" s="149" t="s">
        <v>7</v>
      </c>
      <c r="H18" s="149" t="s">
        <v>8</v>
      </c>
      <c r="I18" s="150" t="s">
        <v>12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2:21">
      <c r="B19" s="127"/>
      <c r="C19" s="139"/>
      <c r="D19" s="139"/>
      <c r="E19" s="139"/>
      <c r="F19" s="139">
        <f ca="1">C3*C4</f>
        <v>1793955.4103324441</v>
      </c>
      <c r="G19" s="139" t="s">
        <v>29</v>
      </c>
      <c r="H19" s="139"/>
      <c r="I19" s="131"/>
      <c r="J19" s="73">
        <f>F6/438000/1000</f>
        <v>3.3999999999999998E-3</v>
      </c>
      <c r="K19" s="66"/>
      <c r="L19" s="66">
        <f ca="1">I15*0.015</f>
        <v>35879.108206648882</v>
      </c>
      <c r="M19" s="66"/>
      <c r="N19" s="2"/>
      <c r="O19" s="66"/>
      <c r="P19" s="66"/>
      <c r="Q19" s="74"/>
      <c r="R19" s="66"/>
      <c r="S19" s="66"/>
      <c r="T19" s="66"/>
      <c r="U19" s="66"/>
    </row>
    <row r="20" spans="2:21">
      <c r="B20" s="48">
        <v>1</v>
      </c>
      <c r="C20" s="139">
        <f ca="1">E20-D20</f>
        <v>34208.750948167995</v>
      </c>
      <c r="D20" s="139">
        <f ca="1">F19*$C$11/4</f>
        <v>23994.153613196439</v>
      </c>
      <c r="E20" s="139">
        <f ca="1">PMT($C$11/4,40,-$F$19)</f>
        <v>58202.904561364434</v>
      </c>
      <c r="F20" s="139">
        <f ca="1">F19-C20</f>
        <v>1759746.659384276</v>
      </c>
      <c r="G20" s="140">
        <f t="shared" ref="G20:I20" si="0">IF(MOD($B20,4)=0,SUM(C17:C20),0)/$F$6*$F$15</f>
        <v>0</v>
      </c>
      <c r="H20" s="140">
        <f t="shared" si="0"/>
        <v>0</v>
      </c>
      <c r="I20" s="141">
        <f t="shared" si="0"/>
        <v>0</v>
      </c>
      <c r="J20" s="66">
        <f ca="1">F11*86</f>
        <v>51426721.762863405</v>
      </c>
      <c r="K20" s="66"/>
      <c r="L20" s="66">
        <f>I3*0.0135</f>
        <v>27000</v>
      </c>
      <c r="M20" s="66"/>
      <c r="N20" s="66"/>
      <c r="O20" s="66"/>
      <c r="P20" s="66"/>
      <c r="Q20" s="66"/>
      <c r="R20" s="66"/>
      <c r="S20" s="66"/>
      <c r="T20" s="66"/>
      <c r="U20" s="66"/>
    </row>
    <row r="21" spans="2:21">
      <c r="B21" s="48">
        <f>B20+1</f>
        <v>2</v>
      </c>
      <c r="C21" s="139">
        <f t="shared" ref="C21:C59" ca="1" si="1">E21-D21</f>
        <v>34666.292992099741</v>
      </c>
      <c r="D21" s="139">
        <f t="shared" ref="D21:D59" ca="1" si="2">F20*$C$11/4</f>
        <v>23536.611569264693</v>
      </c>
      <c r="E21" s="139">
        <f t="shared" ref="E21:E59" ca="1" si="3">PMT($C$11/4,40,-$F$19)</f>
        <v>58202.904561364434</v>
      </c>
      <c r="F21" s="139">
        <f t="shared" ref="F21:F59" ca="1" si="4">F20-C21</f>
        <v>1725080.3663921764</v>
      </c>
      <c r="G21" s="140">
        <f t="shared" ref="G21:I23" si="5">IF(MOD($B21,4)=0,SUM(C18:C21),0)/$F$6*$F$15</f>
        <v>0</v>
      </c>
      <c r="H21" s="140">
        <f t="shared" si="5"/>
        <v>0</v>
      </c>
      <c r="I21" s="141">
        <f t="shared" si="5"/>
        <v>0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2:21">
      <c r="B22" s="48">
        <f t="shared" ref="B22:B59" si="6">B21+1</f>
        <v>3</v>
      </c>
      <c r="C22" s="139">
        <f t="shared" ca="1" si="1"/>
        <v>35129.954660869073</v>
      </c>
      <c r="D22" s="139">
        <f t="shared" ca="1" si="2"/>
        <v>23072.949900495358</v>
      </c>
      <c r="E22" s="139">
        <f t="shared" ca="1" si="3"/>
        <v>58202.904561364434</v>
      </c>
      <c r="F22" s="139">
        <f t="shared" ca="1" si="4"/>
        <v>1689950.4117313074</v>
      </c>
      <c r="G22" s="140">
        <f t="shared" si="5"/>
        <v>0</v>
      </c>
      <c r="H22" s="140">
        <f t="shared" si="5"/>
        <v>0</v>
      </c>
      <c r="I22" s="141">
        <f t="shared" si="5"/>
        <v>0</v>
      </c>
      <c r="J22" s="66"/>
      <c r="K22" s="66"/>
      <c r="L22" s="66">
        <f>I3*0</f>
        <v>0</v>
      </c>
      <c r="M22" s="66"/>
      <c r="N22" s="66"/>
      <c r="O22" s="66"/>
      <c r="P22" s="66"/>
      <c r="Q22" s="66"/>
      <c r="R22" s="66"/>
      <c r="S22" s="66"/>
      <c r="T22" s="66"/>
      <c r="U22" s="66"/>
    </row>
    <row r="23" spans="2:21">
      <c r="B23" s="48">
        <f t="shared" si="6"/>
        <v>4</v>
      </c>
      <c r="C23" s="139">
        <f t="shared" ca="1" si="1"/>
        <v>35599.817804458202</v>
      </c>
      <c r="D23" s="139">
        <f t="shared" ca="1" si="2"/>
        <v>22603.086756906236</v>
      </c>
      <c r="E23" s="139">
        <f t="shared" ca="1" si="3"/>
        <v>58202.904561364434</v>
      </c>
      <c r="F23" s="139">
        <f t="shared" ca="1" si="4"/>
        <v>1654350.5939268493</v>
      </c>
      <c r="G23" s="140">
        <f ca="1">IF(MOD($B23,4)=0,SUM(C20:C23),0)/$F$6*$F$15</f>
        <v>8.9057598432255745</v>
      </c>
      <c r="H23" s="140">
        <f t="shared" ca="1" si="5"/>
        <v>5.9459079873670149</v>
      </c>
      <c r="I23" s="141">
        <f t="shared" ca="1" si="5"/>
        <v>14.851667830592591</v>
      </c>
      <c r="J23" s="66"/>
      <c r="K23" s="66"/>
      <c r="L23" s="66">
        <f ca="1">SUM(L19:L22)</f>
        <v>62879.108206648882</v>
      </c>
      <c r="M23" s="66"/>
      <c r="N23" s="66"/>
      <c r="O23" s="66"/>
      <c r="P23" s="66"/>
      <c r="Q23" s="66"/>
      <c r="R23" s="66"/>
      <c r="S23" s="66"/>
      <c r="T23" s="66"/>
      <c r="U23" s="66"/>
    </row>
    <row r="24" spans="2:21">
      <c r="B24" s="48">
        <f t="shared" si="6"/>
        <v>5</v>
      </c>
      <c r="C24" s="139">
        <f t="shared" ca="1" si="1"/>
        <v>36075.965367592828</v>
      </c>
      <c r="D24" s="139">
        <f t="shared" ca="1" si="2"/>
        <v>22126.93919377161</v>
      </c>
      <c r="E24" s="139">
        <f t="shared" ca="1" si="3"/>
        <v>58202.904561364434</v>
      </c>
      <c r="F24" s="139">
        <f t="shared" ca="1" si="4"/>
        <v>1618274.6285592564</v>
      </c>
      <c r="G24" s="140">
        <f t="shared" ref="G24:I39" si="7">IF(MOD($B24,4)=0,SUM(C21:C24),0)/$F$6*$F$15</f>
        <v>0</v>
      </c>
      <c r="H24" s="140">
        <f t="shared" si="7"/>
        <v>0</v>
      </c>
      <c r="I24" s="141">
        <f t="shared" si="7"/>
        <v>0</v>
      </c>
      <c r="J24" s="66"/>
    </row>
    <row r="25" spans="2:21">
      <c r="B25" s="48">
        <f t="shared" si="6"/>
        <v>6</v>
      </c>
      <c r="C25" s="139">
        <f t="shared" ca="1" si="1"/>
        <v>36558.48140438438</v>
      </c>
      <c r="D25" s="139">
        <f t="shared" ca="1" si="2"/>
        <v>21644.423156980054</v>
      </c>
      <c r="E25" s="139">
        <f t="shared" ca="1" si="3"/>
        <v>58202.904561364434</v>
      </c>
      <c r="F25" s="139">
        <f t="shared" ca="1" si="4"/>
        <v>1581716.1471548721</v>
      </c>
      <c r="G25" s="140">
        <f t="shared" si="7"/>
        <v>0</v>
      </c>
      <c r="H25" s="140">
        <f t="shared" si="7"/>
        <v>0</v>
      </c>
      <c r="I25" s="141">
        <f t="shared" si="7"/>
        <v>0</v>
      </c>
      <c r="J25" s="2"/>
      <c r="K25" s="2"/>
      <c r="L25" s="67"/>
      <c r="U25" s="2"/>
    </row>
    <row r="26" spans="2:21">
      <c r="B26" s="48">
        <f t="shared" si="6"/>
        <v>7</v>
      </c>
      <c r="C26" s="139">
        <f t="shared" ca="1" si="1"/>
        <v>37047.45109316802</v>
      </c>
      <c r="D26" s="139">
        <f t="shared" ca="1" si="2"/>
        <v>21155.453468196414</v>
      </c>
      <c r="E26" s="139">
        <f t="shared" ca="1" si="3"/>
        <v>58202.904561364434</v>
      </c>
      <c r="F26" s="139">
        <f t="shared" ca="1" si="4"/>
        <v>1544668.6960617041</v>
      </c>
      <c r="G26" s="140">
        <f t="shared" si="7"/>
        <v>0</v>
      </c>
      <c r="H26" s="140">
        <f t="shared" si="7"/>
        <v>0</v>
      </c>
      <c r="I26" s="141">
        <f t="shared" si="7"/>
        <v>0</v>
      </c>
      <c r="J26" s="2"/>
      <c r="K26" s="2"/>
    </row>
    <row r="27" spans="2:21">
      <c r="B27" s="48">
        <f t="shared" si="6"/>
        <v>8</v>
      </c>
      <c r="C27" s="139">
        <f t="shared" ca="1" si="1"/>
        <v>37542.96075153914</v>
      </c>
      <c r="D27" s="139">
        <f t="shared" ca="1" si="2"/>
        <v>20659.94380982529</v>
      </c>
      <c r="E27" s="139">
        <f t="shared" ca="1" si="3"/>
        <v>58202.904561364434</v>
      </c>
      <c r="F27" s="139">
        <f t="shared" ca="1" si="4"/>
        <v>1507125.735310165</v>
      </c>
      <c r="G27" s="140">
        <f t="shared" ca="1" si="7"/>
        <v>9.3918624554022418</v>
      </c>
      <c r="H27" s="140">
        <f t="shared" ca="1" si="7"/>
        <v>5.4598053751903501</v>
      </c>
      <c r="I27" s="141">
        <f t="shared" ca="1" si="7"/>
        <v>14.851667830592591</v>
      </c>
      <c r="J27" s="2"/>
    </row>
    <row r="28" spans="2:21">
      <c r="B28" s="48">
        <f t="shared" si="6"/>
        <v>9</v>
      </c>
      <c r="C28" s="139">
        <f t="shared" ca="1" si="1"/>
        <v>38045.097851590981</v>
      </c>
      <c r="D28" s="139">
        <f t="shared" ca="1" si="2"/>
        <v>20157.806709773457</v>
      </c>
      <c r="E28" s="139">
        <f t="shared" ca="1" si="3"/>
        <v>58202.904561364434</v>
      </c>
      <c r="F28" s="139">
        <f t="shared" ca="1" si="4"/>
        <v>1469080.637458574</v>
      </c>
      <c r="G28" s="140">
        <f t="shared" si="7"/>
        <v>0</v>
      </c>
      <c r="H28" s="140">
        <f t="shared" si="7"/>
        <v>0</v>
      </c>
      <c r="I28" s="141">
        <f t="shared" si="7"/>
        <v>0</v>
      </c>
    </row>
    <row r="29" spans="2:21">
      <c r="B29" s="48">
        <f t="shared" si="6"/>
        <v>10</v>
      </c>
      <c r="C29" s="139">
        <f t="shared" ca="1" si="1"/>
        <v>38553.951035356004</v>
      </c>
      <c r="D29" s="139">
        <f t="shared" ca="1" si="2"/>
        <v>19648.953526008427</v>
      </c>
      <c r="E29" s="139">
        <f t="shared" ca="1" si="3"/>
        <v>58202.904561364434</v>
      </c>
      <c r="F29" s="139">
        <f t="shared" ca="1" si="4"/>
        <v>1430526.6864232181</v>
      </c>
      <c r="G29" s="140">
        <f t="shared" si="7"/>
        <v>0</v>
      </c>
      <c r="H29" s="140">
        <f t="shared" si="7"/>
        <v>0</v>
      </c>
      <c r="I29" s="141">
        <f t="shared" si="7"/>
        <v>0</v>
      </c>
      <c r="J29" s="2"/>
    </row>
    <row r="30" spans="2:21">
      <c r="B30" s="48">
        <f t="shared" si="6"/>
        <v>11</v>
      </c>
      <c r="C30" s="139">
        <f t="shared" ca="1" si="1"/>
        <v>39069.61013045389</v>
      </c>
      <c r="D30" s="139">
        <f t="shared" ca="1" si="2"/>
        <v>19133.294430910541</v>
      </c>
      <c r="E30" s="139">
        <f t="shared" ca="1" si="3"/>
        <v>58202.904561364434</v>
      </c>
      <c r="F30" s="139">
        <f t="shared" ca="1" si="4"/>
        <v>1391457.0762927642</v>
      </c>
      <c r="G30" s="140">
        <f t="shared" si="7"/>
        <v>0</v>
      </c>
      <c r="H30" s="140">
        <f t="shared" si="7"/>
        <v>0</v>
      </c>
      <c r="I30" s="141">
        <f t="shared" si="7"/>
        <v>0</v>
      </c>
      <c r="J30" s="89"/>
    </row>
    <row r="31" spans="2:21">
      <c r="B31" s="48">
        <f t="shared" si="6"/>
        <v>12</v>
      </c>
      <c r="C31" s="139">
        <f t="shared" ca="1" si="1"/>
        <v>39592.166165948714</v>
      </c>
      <c r="D31" s="139">
        <f t="shared" ca="1" si="2"/>
        <v>18610.738395415719</v>
      </c>
      <c r="E31" s="139">
        <f t="shared" ca="1" si="3"/>
        <v>58202.904561364434</v>
      </c>
      <c r="F31" s="139">
        <f t="shared" ca="1" si="4"/>
        <v>1351864.9101268156</v>
      </c>
      <c r="G31" s="140">
        <f t="shared" ca="1" si="7"/>
        <v>9.9044979804043862</v>
      </c>
      <c r="H31" s="140">
        <f t="shared" ca="1" si="7"/>
        <v>4.9471698501882031</v>
      </c>
      <c r="I31" s="141">
        <f t="shared" ca="1" si="7"/>
        <v>14.851667830592591</v>
      </c>
    </row>
    <row r="32" spans="2:21">
      <c r="B32" s="48">
        <f t="shared" si="6"/>
        <v>13</v>
      </c>
      <c r="C32" s="139">
        <f t="shared" ca="1" si="1"/>
        <v>40121.711388418276</v>
      </c>
      <c r="D32" s="139">
        <f t="shared" ca="1" si="2"/>
        <v>18081.193172946158</v>
      </c>
      <c r="E32" s="139">
        <f t="shared" ca="1" si="3"/>
        <v>58202.904561364434</v>
      </c>
      <c r="F32" s="139">
        <f t="shared" ca="1" si="4"/>
        <v>1311743.1987383973</v>
      </c>
      <c r="G32" s="140">
        <f t="shared" si="7"/>
        <v>0</v>
      </c>
      <c r="H32" s="140">
        <f t="shared" si="7"/>
        <v>0</v>
      </c>
      <c r="I32" s="141">
        <f t="shared" si="7"/>
        <v>0</v>
      </c>
    </row>
    <row r="33" spans="2:9">
      <c r="B33" s="48">
        <f t="shared" si="6"/>
        <v>14</v>
      </c>
      <c r="C33" s="139">
        <f t="shared" ca="1" si="1"/>
        <v>40658.339278238374</v>
      </c>
      <c r="D33" s="139">
        <f t="shared" ca="1" si="2"/>
        <v>17544.565283126063</v>
      </c>
      <c r="E33" s="139">
        <f t="shared" ca="1" si="3"/>
        <v>58202.904561364434</v>
      </c>
      <c r="F33" s="139">
        <f t="shared" ca="1" si="4"/>
        <v>1271084.859460159</v>
      </c>
      <c r="G33" s="140">
        <f t="shared" si="7"/>
        <v>0</v>
      </c>
      <c r="H33" s="140">
        <f t="shared" si="7"/>
        <v>0</v>
      </c>
      <c r="I33" s="141">
        <f t="shared" si="7"/>
        <v>0</v>
      </c>
    </row>
    <row r="34" spans="2:9">
      <c r="B34" s="48">
        <f t="shared" si="6"/>
        <v>15</v>
      </c>
      <c r="C34" s="139">
        <f t="shared" ca="1" si="1"/>
        <v>41202.144566084811</v>
      </c>
      <c r="D34" s="139">
        <f t="shared" ca="1" si="2"/>
        <v>17000.759995279626</v>
      </c>
      <c r="E34" s="139">
        <f t="shared" ca="1" si="3"/>
        <v>58202.904561364434</v>
      </c>
      <c r="F34" s="139">
        <f t="shared" ca="1" si="4"/>
        <v>1229882.7148940742</v>
      </c>
      <c r="G34" s="140">
        <f t="shared" si="7"/>
        <v>0</v>
      </c>
      <c r="H34" s="140">
        <f t="shared" si="7"/>
        <v>0</v>
      </c>
      <c r="I34" s="141">
        <f t="shared" si="7"/>
        <v>0</v>
      </c>
    </row>
    <row r="35" spans="2:9">
      <c r="B35" s="48">
        <f t="shared" si="6"/>
        <v>16</v>
      </c>
      <c r="C35" s="139">
        <f t="shared" ca="1" si="1"/>
        <v>41753.223249656192</v>
      </c>
      <c r="D35" s="139">
        <f t="shared" ca="1" si="2"/>
        <v>16449.681311708242</v>
      </c>
      <c r="E35" s="139">
        <f t="shared" ca="1" si="3"/>
        <v>58202.904561364434</v>
      </c>
      <c r="F35" s="139">
        <f t="shared" ca="1" si="4"/>
        <v>1188129.4916444181</v>
      </c>
      <c r="G35" s="140">
        <f t="shared" ca="1" si="7"/>
        <v>10.44511466279061</v>
      </c>
      <c r="H35" s="140">
        <f t="shared" ca="1" si="7"/>
        <v>4.4065531678019791</v>
      </c>
      <c r="I35" s="141">
        <f t="shared" ca="1" si="7"/>
        <v>14.851667830592591</v>
      </c>
    </row>
    <row r="36" spans="2:9">
      <c r="B36" s="48">
        <f t="shared" si="6"/>
        <v>17</v>
      </c>
      <c r="C36" s="139">
        <f t="shared" ca="1" si="1"/>
        <v>42311.672610620342</v>
      </c>
      <c r="D36" s="139">
        <f t="shared" ca="1" si="2"/>
        <v>15891.231950744092</v>
      </c>
      <c r="E36" s="139">
        <f t="shared" ca="1" si="3"/>
        <v>58202.904561364434</v>
      </c>
      <c r="F36" s="139">
        <f t="shared" ca="1" si="4"/>
        <v>1145817.8190337978</v>
      </c>
      <c r="G36" s="140">
        <f t="shared" si="7"/>
        <v>0</v>
      </c>
      <c r="H36" s="140">
        <f t="shared" si="7"/>
        <v>0</v>
      </c>
      <c r="I36" s="141">
        <f t="shared" si="7"/>
        <v>0</v>
      </c>
    </row>
    <row r="37" spans="2:9">
      <c r="B37" s="48">
        <f t="shared" si="6"/>
        <v>18</v>
      </c>
      <c r="C37" s="139">
        <f t="shared" ca="1" si="1"/>
        <v>42877.591231787388</v>
      </c>
      <c r="D37" s="139">
        <f t="shared" ca="1" si="2"/>
        <v>15325.313329577046</v>
      </c>
      <c r="E37" s="139">
        <f t="shared" ca="1" si="3"/>
        <v>58202.904561364434</v>
      </c>
      <c r="F37" s="139">
        <f t="shared" ca="1" si="4"/>
        <v>1102940.2278020105</v>
      </c>
      <c r="G37" s="140">
        <f t="shared" si="7"/>
        <v>0</v>
      </c>
      <c r="H37" s="140">
        <f t="shared" si="7"/>
        <v>0</v>
      </c>
      <c r="I37" s="141">
        <f t="shared" si="7"/>
        <v>0</v>
      </c>
    </row>
    <row r="38" spans="2:9">
      <c r="B38" s="48">
        <f t="shared" si="6"/>
        <v>19</v>
      </c>
      <c r="C38" s="139">
        <f t="shared" ca="1" si="1"/>
        <v>43451.079014512543</v>
      </c>
      <c r="D38" s="139">
        <f t="shared" ca="1" si="2"/>
        <v>14751.825546851889</v>
      </c>
      <c r="E38" s="139">
        <f t="shared" ca="1" si="3"/>
        <v>58202.904561364434</v>
      </c>
      <c r="F38" s="139">
        <f t="shared" ca="1" si="4"/>
        <v>1059489.148787498</v>
      </c>
      <c r="G38" s="140">
        <f t="shared" si="7"/>
        <v>0</v>
      </c>
      <c r="H38" s="140">
        <f t="shared" si="7"/>
        <v>0</v>
      </c>
      <c r="I38" s="141">
        <f t="shared" si="7"/>
        <v>0</v>
      </c>
    </row>
    <row r="39" spans="2:9">
      <c r="B39" s="48">
        <f t="shared" si="6"/>
        <v>20</v>
      </c>
      <c r="C39" s="139">
        <f t="shared" ca="1" si="1"/>
        <v>44032.237196331647</v>
      </c>
      <c r="D39" s="139">
        <f t="shared" ca="1" si="2"/>
        <v>14170.667365032785</v>
      </c>
      <c r="E39" s="139">
        <f t="shared" ca="1" si="3"/>
        <v>58202.904561364434</v>
      </c>
      <c r="F39" s="139">
        <f t="shared" ca="1" si="4"/>
        <v>1015456.9115911664</v>
      </c>
      <c r="G39" s="140">
        <f t="shared" ca="1" si="7"/>
        <v>11.015239796574624</v>
      </c>
      <c r="H39" s="140">
        <f t="shared" ca="1" si="7"/>
        <v>3.8364280340179642</v>
      </c>
      <c r="I39" s="141">
        <f t="shared" ca="1" si="7"/>
        <v>14.851667830592591</v>
      </c>
    </row>
    <row r="40" spans="2:9">
      <c r="B40" s="48">
        <f t="shared" si="6"/>
        <v>21</v>
      </c>
      <c r="C40" s="139">
        <f t="shared" ca="1" si="1"/>
        <v>44621.168368832587</v>
      </c>
      <c r="D40" s="139">
        <f t="shared" ca="1" si="2"/>
        <v>13581.736192531851</v>
      </c>
      <c r="E40" s="139">
        <f t="shared" ca="1" si="3"/>
        <v>58202.904561364434</v>
      </c>
      <c r="F40" s="139">
        <f t="shared" ca="1" si="4"/>
        <v>970835.74322233384</v>
      </c>
      <c r="G40" s="140">
        <f t="shared" ref="G40:I55" si="8">IF(MOD($B40,4)=0,SUM(C37:C40),0)/$F$6*$F$15</f>
        <v>0</v>
      </c>
      <c r="H40" s="140">
        <f t="shared" si="8"/>
        <v>0</v>
      </c>
      <c r="I40" s="141">
        <f t="shared" si="8"/>
        <v>0</v>
      </c>
    </row>
    <row r="41" spans="2:9">
      <c r="B41" s="48">
        <f t="shared" si="6"/>
        <v>22</v>
      </c>
      <c r="C41" s="139">
        <f t="shared" ca="1" si="1"/>
        <v>45217.976495765717</v>
      </c>
      <c r="D41" s="139">
        <f t="shared" ca="1" si="2"/>
        <v>12984.928065598715</v>
      </c>
      <c r="E41" s="139">
        <f t="shared" ca="1" si="3"/>
        <v>58202.904561364434</v>
      </c>
      <c r="F41" s="139">
        <f t="shared" ca="1" si="4"/>
        <v>925617.76672656811</v>
      </c>
      <c r="G41" s="140">
        <f t="shared" si="8"/>
        <v>0</v>
      </c>
      <c r="H41" s="140">
        <f t="shared" si="8"/>
        <v>0</v>
      </c>
      <c r="I41" s="141">
        <f t="shared" si="8"/>
        <v>0</v>
      </c>
    </row>
    <row r="42" spans="2:9">
      <c r="B42" s="48">
        <f t="shared" si="6"/>
        <v>23</v>
      </c>
      <c r="C42" s="139">
        <f t="shared" ca="1" si="1"/>
        <v>45822.766931396589</v>
      </c>
      <c r="D42" s="139">
        <f t="shared" ca="1" si="2"/>
        <v>12380.137629967849</v>
      </c>
      <c r="E42" s="139">
        <f t="shared" ca="1" si="3"/>
        <v>58202.904561364434</v>
      </c>
      <c r="F42" s="139">
        <f t="shared" ca="1" si="4"/>
        <v>879794.99979517155</v>
      </c>
      <c r="G42" s="140">
        <f t="shared" si="8"/>
        <v>0</v>
      </c>
      <c r="H42" s="140">
        <f t="shared" si="8"/>
        <v>0</v>
      </c>
      <c r="I42" s="141">
        <f t="shared" si="8"/>
        <v>0</v>
      </c>
    </row>
    <row r="43" spans="2:9">
      <c r="B43" s="48">
        <f t="shared" si="6"/>
        <v>24</v>
      </c>
      <c r="C43" s="139">
        <f t="shared" ca="1" si="1"/>
        <v>46435.646439104014</v>
      </c>
      <c r="D43" s="139">
        <f t="shared" ca="1" si="2"/>
        <v>11767.258122260419</v>
      </c>
      <c r="E43" s="139">
        <f t="shared" ca="1" si="3"/>
        <v>58202.904561364434</v>
      </c>
      <c r="F43" s="139">
        <f t="shared" ca="1" si="4"/>
        <v>833359.35335606756</v>
      </c>
      <c r="G43" s="140">
        <f t="shared" ca="1" si="8"/>
        <v>11.616484039977436</v>
      </c>
      <c r="H43" s="140">
        <f t="shared" ca="1" si="8"/>
        <v>3.2351837906151553</v>
      </c>
      <c r="I43" s="141">
        <f t="shared" ca="1" si="8"/>
        <v>14.851667830592591</v>
      </c>
    </row>
    <row r="44" spans="2:9">
      <c r="B44" s="48">
        <f t="shared" si="6"/>
        <v>25</v>
      </c>
      <c r="C44" s="139">
        <f t="shared" ca="1" si="1"/>
        <v>47056.723210227028</v>
      </c>
      <c r="D44" s="139">
        <f t="shared" ca="1" si="2"/>
        <v>11146.181351137404</v>
      </c>
      <c r="E44" s="139">
        <f t="shared" ca="1" si="3"/>
        <v>58202.904561364434</v>
      </c>
      <c r="F44" s="139">
        <f t="shared" ca="1" si="4"/>
        <v>786302.63014584058</v>
      </c>
      <c r="G44" s="140">
        <f t="shared" si="8"/>
        <v>0</v>
      </c>
      <c r="H44" s="140">
        <f t="shared" si="8"/>
        <v>0</v>
      </c>
      <c r="I44" s="141">
        <f t="shared" si="8"/>
        <v>0</v>
      </c>
    </row>
    <row r="45" spans="2:9">
      <c r="B45" s="48">
        <f t="shared" si="6"/>
        <v>26</v>
      </c>
      <c r="C45" s="139">
        <f t="shared" ca="1" si="1"/>
        <v>47686.106883163819</v>
      </c>
      <c r="D45" s="139">
        <f t="shared" ca="1" si="2"/>
        <v>10516.797678200617</v>
      </c>
      <c r="E45" s="139">
        <f t="shared" ca="1" si="3"/>
        <v>58202.904561364434</v>
      </c>
      <c r="F45" s="139">
        <f t="shared" ca="1" si="4"/>
        <v>738616.52326267678</v>
      </c>
      <c r="G45" s="140">
        <f t="shared" si="8"/>
        <v>0</v>
      </c>
      <c r="H45" s="140">
        <f t="shared" si="8"/>
        <v>0</v>
      </c>
      <c r="I45" s="141">
        <f t="shared" si="8"/>
        <v>0</v>
      </c>
    </row>
    <row r="46" spans="2:9">
      <c r="B46" s="48">
        <f t="shared" si="6"/>
        <v>27</v>
      </c>
      <c r="C46" s="139">
        <f t="shared" ca="1" si="1"/>
        <v>48323.90856272613</v>
      </c>
      <c r="D46" s="139">
        <f t="shared" ca="1" si="2"/>
        <v>9878.9959986383019</v>
      </c>
      <c r="E46" s="139">
        <f t="shared" ca="1" si="3"/>
        <v>58202.904561364434</v>
      </c>
      <c r="F46" s="139">
        <f t="shared" ca="1" si="4"/>
        <v>690292.61469995067</v>
      </c>
      <c r="G46" s="140">
        <f t="shared" si="8"/>
        <v>0</v>
      </c>
      <c r="H46" s="140">
        <f t="shared" si="8"/>
        <v>0</v>
      </c>
      <c r="I46" s="141">
        <f t="shared" si="8"/>
        <v>0</v>
      </c>
    </row>
    <row r="47" spans="2:9">
      <c r="B47" s="48">
        <f t="shared" si="6"/>
        <v>28</v>
      </c>
      <c r="C47" s="139">
        <f t="shared" ca="1" si="1"/>
        <v>48970.240839752594</v>
      </c>
      <c r="D47" s="139">
        <f t="shared" ca="1" si="2"/>
        <v>9232.6637216118397</v>
      </c>
      <c r="E47" s="139">
        <f t="shared" ca="1" si="3"/>
        <v>58202.904561364434</v>
      </c>
      <c r="F47" s="139">
        <f t="shared" ca="1" si="4"/>
        <v>641322.37386019807</v>
      </c>
      <c r="G47" s="140">
        <f t="shared" ca="1" si="8"/>
        <v>12.250545965691384</v>
      </c>
      <c r="H47" s="140">
        <f t="shared" ca="1" si="8"/>
        <v>2.6011218649012058</v>
      </c>
      <c r="I47" s="141">
        <f t="shared" ca="1" si="8"/>
        <v>14.851667830592591</v>
      </c>
    </row>
    <row r="48" spans="2:9">
      <c r="B48" s="48">
        <f t="shared" si="6"/>
        <v>29</v>
      </c>
      <c r="C48" s="139">
        <f t="shared" ca="1" si="1"/>
        <v>49625.217810984286</v>
      </c>
      <c r="D48" s="139">
        <f t="shared" ca="1" si="2"/>
        <v>8577.6867503801495</v>
      </c>
      <c r="E48" s="139">
        <f t="shared" ca="1" si="3"/>
        <v>58202.904561364434</v>
      </c>
      <c r="F48" s="139">
        <f t="shared" ca="1" si="4"/>
        <v>591697.15604921384</v>
      </c>
      <c r="G48" s="140">
        <f t="shared" si="8"/>
        <v>0</v>
      </c>
      <c r="H48" s="140">
        <f t="shared" si="8"/>
        <v>0</v>
      </c>
      <c r="I48" s="141">
        <f t="shared" si="8"/>
        <v>0</v>
      </c>
    </row>
    <row r="49" spans="2:15">
      <c r="B49" s="48">
        <f t="shared" si="6"/>
        <v>30</v>
      </c>
      <c r="C49" s="139">
        <f t="shared" ca="1" si="1"/>
        <v>50288.9550992062</v>
      </c>
      <c r="D49" s="139">
        <f t="shared" ca="1" si="2"/>
        <v>7913.9494621582353</v>
      </c>
      <c r="E49" s="139">
        <f t="shared" ca="1" si="3"/>
        <v>58202.904561364434</v>
      </c>
      <c r="F49" s="139">
        <f t="shared" ca="1" si="4"/>
        <v>541408.20095000765</v>
      </c>
      <c r="G49" s="140">
        <f t="shared" si="8"/>
        <v>0</v>
      </c>
      <c r="H49" s="140">
        <f t="shared" si="8"/>
        <v>0</v>
      </c>
      <c r="I49" s="141">
        <f t="shared" si="8"/>
        <v>0</v>
      </c>
    </row>
    <row r="50" spans="2:15">
      <c r="B50" s="48">
        <f t="shared" si="6"/>
        <v>31</v>
      </c>
      <c r="C50" s="139">
        <f t="shared" ca="1" si="1"/>
        <v>50961.569873658082</v>
      </c>
      <c r="D50" s="139">
        <f t="shared" ca="1" si="2"/>
        <v>7241.3346877063523</v>
      </c>
      <c r="E50" s="139">
        <f t="shared" ca="1" si="3"/>
        <v>58202.904561364434</v>
      </c>
      <c r="F50" s="139">
        <f t="shared" ca="1" si="4"/>
        <v>490446.63107634959</v>
      </c>
      <c r="G50" s="140">
        <f t="shared" si="8"/>
        <v>0</v>
      </c>
      <c r="H50" s="140">
        <f t="shared" si="8"/>
        <v>0</v>
      </c>
      <c r="I50" s="141">
        <f t="shared" si="8"/>
        <v>0</v>
      </c>
    </row>
    <row r="51" spans="2:15">
      <c r="B51" s="48">
        <f t="shared" si="6"/>
        <v>32</v>
      </c>
      <c r="C51" s="139">
        <f t="shared" ca="1" si="1"/>
        <v>51643.180870718257</v>
      </c>
      <c r="D51" s="139">
        <f t="shared" ca="1" si="2"/>
        <v>6559.7236906461758</v>
      </c>
      <c r="E51" s="139">
        <f t="shared" ca="1" si="3"/>
        <v>58202.904561364434</v>
      </c>
      <c r="F51" s="139">
        <f t="shared" ca="1" si="4"/>
        <v>438803.45020563132</v>
      </c>
      <c r="G51" s="140">
        <f t="shared" ca="1" si="8"/>
        <v>12.919216859511042</v>
      </c>
      <c r="H51" s="140">
        <f t="shared" ca="1" si="8"/>
        <v>1.932450971081545</v>
      </c>
      <c r="I51" s="141">
        <f t="shared" ca="1" si="8"/>
        <v>14.851667830592591</v>
      </c>
    </row>
    <row r="52" spans="2:15">
      <c r="B52" s="48">
        <f t="shared" si="6"/>
        <v>33</v>
      </c>
      <c r="C52" s="139">
        <f t="shared" ca="1" si="1"/>
        <v>52333.908414864112</v>
      </c>
      <c r="D52" s="139">
        <f t="shared" ca="1" si="2"/>
        <v>5868.9961465003189</v>
      </c>
      <c r="E52" s="139">
        <f t="shared" ca="1" si="3"/>
        <v>58202.904561364434</v>
      </c>
      <c r="F52" s="139">
        <f t="shared" ca="1" si="4"/>
        <v>386469.54179076722</v>
      </c>
      <c r="G52" s="140">
        <f t="shared" si="8"/>
        <v>0</v>
      </c>
      <c r="H52" s="140">
        <f t="shared" si="8"/>
        <v>0</v>
      </c>
      <c r="I52" s="141">
        <f t="shared" si="8"/>
        <v>0</v>
      </c>
    </row>
    <row r="53" spans="2:15">
      <c r="B53" s="48">
        <f t="shared" si="6"/>
        <v>34</v>
      </c>
      <c r="C53" s="139">
        <f t="shared" ca="1" si="1"/>
        <v>53033.874439912921</v>
      </c>
      <c r="D53" s="139">
        <f t="shared" ca="1" si="2"/>
        <v>5169.0301214515111</v>
      </c>
      <c r="E53" s="139">
        <f t="shared" ca="1" si="3"/>
        <v>58202.904561364434</v>
      </c>
      <c r="F53" s="139">
        <f t="shared" ca="1" si="4"/>
        <v>333435.66735085432</v>
      </c>
      <c r="G53" s="140">
        <f t="shared" si="8"/>
        <v>0</v>
      </c>
      <c r="H53" s="140">
        <f t="shared" si="8"/>
        <v>0</v>
      </c>
      <c r="I53" s="141">
        <f t="shared" si="8"/>
        <v>0</v>
      </c>
    </row>
    <row r="54" spans="2:15">
      <c r="B54" s="48">
        <f t="shared" si="6"/>
        <v>35</v>
      </c>
      <c r="C54" s="139">
        <f t="shared" ca="1" si="1"/>
        <v>53743.202510546755</v>
      </c>
      <c r="D54" s="139">
        <f t="shared" ca="1" si="2"/>
        <v>4459.7020508176765</v>
      </c>
      <c r="E54" s="139">
        <f t="shared" ca="1" si="3"/>
        <v>58202.904561364434</v>
      </c>
      <c r="F54" s="139">
        <f t="shared" ca="1" si="4"/>
        <v>279692.46484030754</v>
      </c>
      <c r="G54" s="140">
        <f t="shared" si="8"/>
        <v>0</v>
      </c>
      <c r="H54" s="140">
        <f t="shared" si="8"/>
        <v>0</v>
      </c>
      <c r="I54" s="141">
        <f t="shared" si="8"/>
        <v>0</v>
      </c>
    </row>
    <row r="55" spans="2:15">
      <c r="B55" s="48">
        <f t="shared" si="6"/>
        <v>36</v>
      </c>
      <c r="C55" s="139">
        <f t="shared" ca="1" si="1"/>
        <v>54462.017844125323</v>
      </c>
      <c r="D55" s="139">
        <f t="shared" ca="1" si="2"/>
        <v>3740.8867172391133</v>
      </c>
      <c r="E55" s="139">
        <f t="shared" ca="1" si="3"/>
        <v>58202.904561364434</v>
      </c>
      <c r="F55" s="139">
        <f t="shared" ca="1" si="4"/>
        <v>225230.4469961822</v>
      </c>
      <c r="G55" s="140">
        <f t="shared" ca="1" si="8"/>
        <v>13.624385780887501</v>
      </c>
      <c r="H55" s="140">
        <f t="shared" ca="1" si="8"/>
        <v>1.2272820497050894</v>
      </c>
      <c r="I55" s="141">
        <f t="shared" ca="1" si="8"/>
        <v>14.851667830592591</v>
      </c>
    </row>
    <row r="56" spans="2:15">
      <c r="B56" s="48">
        <f t="shared" si="6"/>
        <v>37</v>
      </c>
      <c r="C56" s="139">
        <f t="shared" ca="1" si="1"/>
        <v>55190.4473327905</v>
      </c>
      <c r="D56" s="139">
        <f t="shared" ca="1" si="2"/>
        <v>3012.4572285739368</v>
      </c>
      <c r="E56" s="139">
        <f t="shared" ca="1" si="3"/>
        <v>58202.904561364434</v>
      </c>
      <c r="F56" s="139">
        <f t="shared" ca="1" si="4"/>
        <v>170039.9996633917</v>
      </c>
      <c r="G56" s="140">
        <f t="shared" ref="G56:I59" si="9">IF(MOD($B56,4)=0,SUM(C53:C56),0)/$F$6*$F$15</f>
        <v>0</v>
      </c>
      <c r="H56" s="140">
        <f t="shared" si="9"/>
        <v>0</v>
      </c>
      <c r="I56" s="141">
        <f t="shared" si="9"/>
        <v>0</v>
      </c>
    </row>
    <row r="57" spans="2:15">
      <c r="B57" s="48">
        <f t="shared" si="6"/>
        <v>38</v>
      </c>
      <c r="C57" s="139">
        <f t="shared" ca="1" si="1"/>
        <v>55928.619565866567</v>
      </c>
      <c r="D57" s="139">
        <f t="shared" ca="1" si="2"/>
        <v>2274.2849954978642</v>
      </c>
      <c r="E57" s="139">
        <f t="shared" ca="1" si="3"/>
        <v>58202.904561364434</v>
      </c>
      <c r="F57" s="139">
        <f t="shared" ca="1" si="4"/>
        <v>114111.38009752514</v>
      </c>
      <c r="G57" s="140">
        <f t="shared" si="9"/>
        <v>0</v>
      </c>
      <c r="H57" s="140">
        <f t="shared" si="9"/>
        <v>0</v>
      </c>
      <c r="I57" s="141">
        <f t="shared" si="9"/>
        <v>0</v>
      </c>
    </row>
    <row r="58" spans="2:15">
      <c r="B58" s="48">
        <f t="shared" si="6"/>
        <v>39</v>
      </c>
      <c r="C58" s="139">
        <f t="shared" ca="1" si="1"/>
        <v>56676.664852560032</v>
      </c>
      <c r="D58" s="139">
        <f t="shared" ca="1" si="2"/>
        <v>1526.2397088043986</v>
      </c>
      <c r="E58" s="139">
        <f t="shared" ca="1" si="3"/>
        <v>58202.904561364434</v>
      </c>
      <c r="F58" s="139">
        <f t="shared" ca="1" si="4"/>
        <v>57434.715244965104</v>
      </c>
      <c r="G58" s="140">
        <f t="shared" si="9"/>
        <v>0</v>
      </c>
      <c r="H58" s="140">
        <f t="shared" si="9"/>
        <v>0</v>
      </c>
      <c r="I58" s="141">
        <f t="shared" si="9"/>
        <v>0</v>
      </c>
    </row>
    <row r="59" spans="2:15">
      <c r="B59" s="50">
        <f t="shared" si="6"/>
        <v>40</v>
      </c>
      <c r="C59" s="142">
        <f t="shared" ca="1" si="1"/>
        <v>57434.715244963023</v>
      </c>
      <c r="D59" s="142">
        <f t="shared" ca="1" si="2"/>
        <v>768.18931640140829</v>
      </c>
      <c r="E59" s="142">
        <f t="shared" ca="1" si="3"/>
        <v>58202.904561364434</v>
      </c>
      <c r="F59" s="142">
        <f t="shared" ca="1" si="4"/>
        <v>2.0809238776564598E-9</v>
      </c>
      <c r="G59" s="143">
        <f t="shared" ca="1" si="9"/>
        <v>14.3680448997026</v>
      </c>
      <c r="H59" s="143">
        <f t="shared" ca="1" si="9"/>
        <v>0.4836229308899897</v>
      </c>
      <c r="I59" s="144">
        <f t="shared" ca="1" si="9"/>
        <v>14.851667830592591</v>
      </c>
    </row>
    <row r="61" spans="2:15">
      <c r="B61" s="28" t="s">
        <v>31</v>
      </c>
      <c r="C61" s="158"/>
      <c r="D61" s="158"/>
      <c r="E61" s="158"/>
      <c r="F61" s="158"/>
      <c r="G61" s="158"/>
      <c r="H61" s="159"/>
      <c r="J61" s="28" t="s">
        <v>32</v>
      </c>
      <c r="K61" s="155"/>
      <c r="L61" s="155"/>
      <c r="M61" s="155"/>
      <c r="N61" s="155"/>
      <c r="O61" s="156"/>
    </row>
    <row r="62" spans="2:15">
      <c r="B62" s="148" t="s">
        <v>10</v>
      </c>
      <c r="C62" s="160" t="s">
        <v>5</v>
      </c>
      <c r="D62" s="160" t="s">
        <v>13</v>
      </c>
      <c r="E62" s="160"/>
      <c r="F62" s="160"/>
      <c r="G62" s="160" t="s">
        <v>14</v>
      </c>
      <c r="H62" s="161" t="s">
        <v>15</v>
      </c>
      <c r="J62" s="148" t="s">
        <v>10</v>
      </c>
      <c r="K62" s="118" t="s">
        <v>5</v>
      </c>
      <c r="L62" s="118" t="s">
        <v>13</v>
      </c>
      <c r="M62" s="118"/>
      <c r="N62" s="118" t="s">
        <v>14</v>
      </c>
      <c r="O62" s="157" t="s">
        <v>15</v>
      </c>
    </row>
    <row r="63" spans="2:15">
      <c r="B63" s="148"/>
      <c r="C63" s="160"/>
      <c r="D63" s="160" t="s">
        <v>7</v>
      </c>
      <c r="E63" s="160" t="s">
        <v>8</v>
      </c>
      <c r="F63" s="160" t="s">
        <v>9</v>
      </c>
      <c r="G63" s="160"/>
      <c r="H63" s="161"/>
      <c r="J63" s="148"/>
      <c r="K63" s="118"/>
      <c r="L63" s="118" t="s">
        <v>18</v>
      </c>
      <c r="M63" s="118" t="s">
        <v>8</v>
      </c>
      <c r="N63" s="118"/>
      <c r="O63" s="157"/>
    </row>
    <row r="64" spans="2:15">
      <c r="B64" s="127"/>
      <c r="C64" s="100"/>
      <c r="D64" s="100"/>
      <c r="E64" s="100"/>
      <c r="F64" s="100"/>
      <c r="G64" s="100"/>
      <c r="H64" s="121"/>
      <c r="J64" s="127"/>
      <c r="K64" s="100"/>
      <c r="L64" s="100"/>
      <c r="M64" s="100"/>
      <c r="N64" s="100"/>
      <c r="O64" s="121"/>
    </row>
    <row r="65" spans="2:15">
      <c r="B65" s="48">
        <v>1</v>
      </c>
      <c r="C65" s="151">
        <f t="shared" ref="C65:C89" ca="1" si="10">$F$3/$F$6*$F$15</f>
        <v>4.0112243349661858</v>
      </c>
      <c r="D65" s="151">
        <f t="shared" ref="D65:D89" ca="1" si="11">IF(B65&lt;=10, VLOOKUP($B65*4,$B$18:$I$59,6),0)</f>
        <v>8.9057598432255745</v>
      </c>
      <c r="E65" s="151">
        <f t="shared" ref="E65:E89" ca="1" si="12">IF(B65&lt;=10, VLOOKUP($B65*4,$B$18:$I$59,7),0)</f>
        <v>5.9459079873670149</v>
      </c>
      <c r="F65" s="151">
        <f ca="1">-(PMT($C$14,$B$89,$F$13)*$F$15/$F$6)/0.925</f>
        <v>8.0638706370338902</v>
      </c>
      <c r="G65" s="151">
        <f ca="1">SUM(C65:F65)</f>
        <v>26.926762802592666</v>
      </c>
      <c r="H65" s="152">
        <f t="shared" ref="H65:H89" ca="1" si="13">G65/$F$15*100</f>
        <v>28.343960844834388</v>
      </c>
      <c r="J65" s="48">
        <v>1</v>
      </c>
      <c r="K65" s="151">
        <f t="shared" ref="K65:K89" ca="1" si="14">C65</f>
        <v>4.0112243349661858</v>
      </c>
      <c r="L65" s="151">
        <f t="shared" ref="L65:L89" ca="1" si="15">D65+F65</f>
        <v>16.969630480259465</v>
      </c>
      <c r="M65" s="151">
        <f t="shared" ref="M65:M89" ca="1" si="16">E65</f>
        <v>5.9459079873670149</v>
      </c>
      <c r="N65" s="151">
        <f ca="1">SUM(K65:M65)</f>
        <v>26.926762802592666</v>
      </c>
      <c r="O65" s="152">
        <f t="shared" ref="O65:O89" ca="1" si="17">N65/$F$15*100</f>
        <v>28.343960844834388</v>
      </c>
    </row>
    <row r="66" spans="2:15">
      <c r="B66" s="48">
        <f>B65+1</f>
        <v>2</v>
      </c>
      <c r="C66" s="151">
        <f t="shared" ca="1" si="10"/>
        <v>4.0112243349661858</v>
      </c>
      <c r="D66" s="151">
        <f t="shared" ca="1" si="11"/>
        <v>9.3918624554022418</v>
      </c>
      <c r="E66" s="151">
        <f t="shared" ca="1" si="12"/>
        <v>5.4598053751903501</v>
      </c>
      <c r="F66" s="151">
        <f t="shared" ref="F66:F89" ca="1" si="18">-(PMT($C$14,$B$89,$F$13)*$F$15/$F$6)/0.925</f>
        <v>8.0638706370338902</v>
      </c>
      <c r="G66" s="151">
        <f t="shared" ref="G66:G89" ca="1" si="19">SUM(C66:F66)</f>
        <v>26.926762802592666</v>
      </c>
      <c r="H66" s="152">
        <f t="shared" ca="1" si="13"/>
        <v>28.343960844834388</v>
      </c>
      <c r="J66" s="48">
        <f>J65+1</f>
        <v>2</v>
      </c>
      <c r="K66" s="151">
        <f t="shared" ca="1" si="14"/>
        <v>4.0112243349661858</v>
      </c>
      <c r="L66" s="151">
        <f t="shared" ca="1" si="15"/>
        <v>17.455733092436134</v>
      </c>
      <c r="M66" s="151">
        <f t="shared" ca="1" si="16"/>
        <v>5.4598053751903501</v>
      </c>
      <c r="N66" s="151">
        <f t="shared" ref="N66:N89" ca="1" si="20">SUM(K66:M66)</f>
        <v>26.92676280259267</v>
      </c>
      <c r="O66" s="152">
        <f t="shared" ca="1" si="17"/>
        <v>28.343960844834388</v>
      </c>
    </row>
    <row r="67" spans="2:15">
      <c r="B67" s="48">
        <f t="shared" ref="B67:B89" si="21">B66+1</f>
        <v>3</v>
      </c>
      <c r="C67" s="151">
        <f t="shared" ca="1" si="10"/>
        <v>4.0112243349661858</v>
      </c>
      <c r="D67" s="151">
        <f t="shared" ca="1" si="11"/>
        <v>9.9044979804043862</v>
      </c>
      <c r="E67" s="151">
        <f t="shared" ca="1" si="12"/>
        <v>4.9471698501882031</v>
      </c>
      <c r="F67" s="151">
        <f t="shared" ca="1" si="18"/>
        <v>8.0638706370338902</v>
      </c>
      <c r="G67" s="151">
        <f t="shared" ca="1" si="19"/>
        <v>26.926762802592666</v>
      </c>
      <c r="H67" s="152">
        <f t="shared" ca="1" si="13"/>
        <v>28.343960844834388</v>
      </c>
      <c r="J67" s="48">
        <f t="shared" ref="J67:J88" si="22">J66+1</f>
        <v>3</v>
      </c>
      <c r="K67" s="151">
        <f t="shared" ca="1" si="14"/>
        <v>4.0112243349661858</v>
      </c>
      <c r="L67" s="151">
        <f t="shared" ca="1" si="15"/>
        <v>17.968368617438276</v>
      </c>
      <c r="M67" s="151">
        <f t="shared" ca="1" si="16"/>
        <v>4.9471698501882031</v>
      </c>
      <c r="N67" s="151">
        <f t="shared" ca="1" si="20"/>
        <v>26.926762802592666</v>
      </c>
      <c r="O67" s="152">
        <f t="shared" ca="1" si="17"/>
        <v>28.343960844834388</v>
      </c>
    </row>
    <row r="68" spans="2:15">
      <c r="B68" s="48">
        <f t="shared" si="21"/>
        <v>4</v>
      </c>
      <c r="C68" s="151">
        <f t="shared" ca="1" si="10"/>
        <v>4.0112243349661858</v>
      </c>
      <c r="D68" s="151">
        <f t="shared" ca="1" si="11"/>
        <v>10.44511466279061</v>
      </c>
      <c r="E68" s="151">
        <f t="shared" ca="1" si="12"/>
        <v>4.4065531678019791</v>
      </c>
      <c r="F68" s="151">
        <f t="shared" ca="1" si="18"/>
        <v>8.0638706370338902</v>
      </c>
      <c r="G68" s="151">
        <f t="shared" ca="1" si="19"/>
        <v>26.926762802592666</v>
      </c>
      <c r="H68" s="152">
        <f t="shared" ca="1" si="13"/>
        <v>28.343960844834388</v>
      </c>
      <c r="J68" s="48">
        <f t="shared" si="22"/>
        <v>4</v>
      </c>
      <c r="K68" s="151">
        <f t="shared" ca="1" si="14"/>
        <v>4.0112243349661858</v>
      </c>
      <c r="L68" s="151">
        <f t="shared" ca="1" si="15"/>
        <v>18.508985299824502</v>
      </c>
      <c r="M68" s="151">
        <f t="shared" ca="1" si="16"/>
        <v>4.4065531678019791</v>
      </c>
      <c r="N68" s="151">
        <f t="shared" ca="1" si="20"/>
        <v>26.92676280259267</v>
      </c>
      <c r="O68" s="152">
        <f t="shared" ca="1" si="17"/>
        <v>28.343960844834388</v>
      </c>
    </row>
    <row r="69" spans="2:15">
      <c r="B69" s="48">
        <f t="shared" si="21"/>
        <v>5</v>
      </c>
      <c r="C69" s="151">
        <f t="shared" ca="1" si="10"/>
        <v>4.0112243349661858</v>
      </c>
      <c r="D69" s="151">
        <f t="shared" ca="1" si="11"/>
        <v>11.015239796574624</v>
      </c>
      <c r="E69" s="151">
        <f t="shared" ca="1" si="12"/>
        <v>3.8364280340179642</v>
      </c>
      <c r="F69" s="151">
        <f t="shared" ca="1" si="18"/>
        <v>8.0638706370338902</v>
      </c>
      <c r="G69" s="151">
        <f t="shared" ca="1" si="19"/>
        <v>26.926762802592663</v>
      </c>
      <c r="H69" s="152">
        <f t="shared" ca="1" si="13"/>
        <v>28.343960844834381</v>
      </c>
      <c r="J69" s="48">
        <f t="shared" si="22"/>
        <v>5</v>
      </c>
      <c r="K69" s="151">
        <f t="shared" ca="1" si="14"/>
        <v>4.0112243349661858</v>
      </c>
      <c r="L69" s="151">
        <f t="shared" ca="1" si="15"/>
        <v>19.079110433608513</v>
      </c>
      <c r="M69" s="151">
        <f t="shared" ca="1" si="16"/>
        <v>3.8364280340179642</v>
      </c>
      <c r="N69" s="151">
        <f t="shared" ca="1" si="20"/>
        <v>26.926762802592663</v>
      </c>
      <c r="O69" s="152">
        <f t="shared" ca="1" si="17"/>
        <v>28.343960844834381</v>
      </c>
    </row>
    <row r="70" spans="2:15">
      <c r="B70" s="48">
        <f t="shared" si="21"/>
        <v>6</v>
      </c>
      <c r="C70" s="151">
        <f t="shared" ca="1" si="10"/>
        <v>4.0112243349661858</v>
      </c>
      <c r="D70" s="151">
        <f t="shared" ca="1" si="11"/>
        <v>11.616484039977436</v>
      </c>
      <c r="E70" s="151">
        <f t="shared" ca="1" si="12"/>
        <v>3.2351837906151553</v>
      </c>
      <c r="F70" s="151">
        <f t="shared" ca="1" si="18"/>
        <v>8.0638706370338902</v>
      </c>
      <c r="G70" s="151">
        <f t="shared" ca="1" si="19"/>
        <v>26.92676280259267</v>
      </c>
      <c r="H70" s="152">
        <f t="shared" ca="1" si="13"/>
        <v>28.343960844834388</v>
      </c>
      <c r="J70" s="48">
        <f t="shared" si="22"/>
        <v>6</v>
      </c>
      <c r="K70" s="151">
        <f t="shared" ca="1" si="14"/>
        <v>4.0112243349661858</v>
      </c>
      <c r="L70" s="151">
        <f t="shared" ca="1" si="15"/>
        <v>19.680354677011326</v>
      </c>
      <c r="M70" s="151">
        <f t="shared" ca="1" si="16"/>
        <v>3.2351837906151553</v>
      </c>
      <c r="N70" s="151">
        <f t="shared" ca="1" si="20"/>
        <v>26.92676280259267</v>
      </c>
      <c r="O70" s="152">
        <f t="shared" ca="1" si="17"/>
        <v>28.343960844834388</v>
      </c>
    </row>
    <row r="71" spans="2:15">
      <c r="B71" s="48">
        <f t="shared" si="21"/>
        <v>7</v>
      </c>
      <c r="C71" s="151">
        <f t="shared" ca="1" si="10"/>
        <v>4.0112243349661858</v>
      </c>
      <c r="D71" s="151">
        <f t="shared" ca="1" si="11"/>
        <v>12.250545965691384</v>
      </c>
      <c r="E71" s="151">
        <f t="shared" ca="1" si="12"/>
        <v>2.6011218649012058</v>
      </c>
      <c r="F71" s="151">
        <f t="shared" ca="1" si="18"/>
        <v>8.0638706370338902</v>
      </c>
      <c r="G71" s="151">
        <f t="shared" ca="1" si="19"/>
        <v>26.926762802592666</v>
      </c>
      <c r="H71" s="152">
        <f t="shared" ca="1" si="13"/>
        <v>28.343960844834388</v>
      </c>
      <c r="J71" s="48">
        <f t="shared" si="22"/>
        <v>7</v>
      </c>
      <c r="K71" s="151">
        <f t="shared" ca="1" si="14"/>
        <v>4.0112243349661858</v>
      </c>
      <c r="L71" s="151">
        <f t="shared" ca="1" si="15"/>
        <v>20.314416602725274</v>
      </c>
      <c r="M71" s="151">
        <f t="shared" ca="1" si="16"/>
        <v>2.6011218649012058</v>
      </c>
      <c r="N71" s="151">
        <f t="shared" ca="1" si="20"/>
        <v>26.926762802592666</v>
      </c>
      <c r="O71" s="152">
        <f t="shared" ca="1" si="17"/>
        <v>28.343960844834388</v>
      </c>
    </row>
    <row r="72" spans="2:15">
      <c r="B72" s="48">
        <f t="shared" si="21"/>
        <v>8</v>
      </c>
      <c r="C72" s="151">
        <f t="shared" ca="1" si="10"/>
        <v>4.0112243349661858</v>
      </c>
      <c r="D72" s="151">
        <f t="shared" ca="1" si="11"/>
        <v>12.919216859511042</v>
      </c>
      <c r="E72" s="151">
        <f t="shared" ca="1" si="12"/>
        <v>1.932450971081545</v>
      </c>
      <c r="F72" s="151">
        <f t="shared" ca="1" si="18"/>
        <v>8.0638706370338902</v>
      </c>
      <c r="G72" s="151">
        <f t="shared" ca="1" si="19"/>
        <v>26.926762802592663</v>
      </c>
      <c r="H72" s="152">
        <f t="shared" ca="1" si="13"/>
        <v>28.343960844834381</v>
      </c>
      <c r="J72" s="48">
        <f t="shared" si="22"/>
        <v>8</v>
      </c>
      <c r="K72" s="151">
        <f t="shared" ca="1" si="14"/>
        <v>4.0112243349661858</v>
      </c>
      <c r="L72" s="151">
        <f t="shared" ca="1" si="15"/>
        <v>20.983087496544933</v>
      </c>
      <c r="M72" s="151">
        <f t="shared" ca="1" si="16"/>
        <v>1.932450971081545</v>
      </c>
      <c r="N72" s="151">
        <f t="shared" ca="1" si="20"/>
        <v>26.926762802592663</v>
      </c>
      <c r="O72" s="152">
        <f t="shared" ca="1" si="17"/>
        <v>28.343960844834381</v>
      </c>
    </row>
    <row r="73" spans="2:15">
      <c r="B73" s="48">
        <f t="shared" si="21"/>
        <v>9</v>
      </c>
      <c r="C73" s="151">
        <f t="shared" ca="1" si="10"/>
        <v>4.0112243349661858</v>
      </c>
      <c r="D73" s="151">
        <f t="shared" ca="1" si="11"/>
        <v>13.624385780887501</v>
      </c>
      <c r="E73" s="151">
        <f t="shared" ca="1" si="12"/>
        <v>1.2272820497050894</v>
      </c>
      <c r="F73" s="151">
        <f t="shared" ca="1" si="18"/>
        <v>8.0638706370338902</v>
      </c>
      <c r="G73" s="151">
        <f t="shared" ca="1" si="19"/>
        <v>26.926762802592666</v>
      </c>
      <c r="H73" s="152">
        <f t="shared" ca="1" si="13"/>
        <v>28.343960844834388</v>
      </c>
      <c r="J73" s="48">
        <f t="shared" si="22"/>
        <v>9</v>
      </c>
      <c r="K73" s="151">
        <f t="shared" ca="1" si="14"/>
        <v>4.0112243349661858</v>
      </c>
      <c r="L73" s="151">
        <f t="shared" ca="1" si="15"/>
        <v>21.688256417921391</v>
      </c>
      <c r="M73" s="151">
        <f t="shared" ca="1" si="16"/>
        <v>1.2272820497050894</v>
      </c>
      <c r="N73" s="151">
        <f t="shared" ca="1" si="20"/>
        <v>26.926762802592666</v>
      </c>
      <c r="O73" s="152">
        <f t="shared" ca="1" si="17"/>
        <v>28.343960844834388</v>
      </c>
    </row>
    <row r="74" spans="2:15">
      <c r="B74" s="48">
        <f t="shared" si="21"/>
        <v>10</v>
      </c>
      <c r="C74" s="151">
        <f t="shared" ca="1" si="10"/>
        <v>4.0112243349661858</v>
      </c>
      <c r="D74" s="151">
        <f t="shared" ca="1" si="11"/>
        <v>14.3680448997026</v>
      </c>
      <c r="E74" s="151">
        <f t="shared" ca="1" si="12"/>
        <v>0.4836229308899897</v>
      </c>
      <c r="F74" s="151">
        <f t="shared" ca="1" si="18"/>
        <v>8.0638706370338902</v>
      </c>
      <c r="G74" s="151">
        <f t="shared" ca="1" si="19"/>
        <v>26.926762802592666</v>
      </c>
      <c r="H74" s="152">
        <f t="shared" ca="1" si="13"/>
        <v>28.343960844834388</v>
      </c>
      <c r="J74" s="48">
        <f t="shared" si="22"/>
        <v>10</v>
      </c>
      <c r="K74" s="151">
        <f t="shared" ca="1" si="14"/>
        <v>4.0112243349661858</v>
      </c>
      <c r="L74" s="151">
        <f t="shared" ca="1" si="15"/>
        <v>22.43191553673649</v>
      </c>
      <c r="M74" s="151">
        <f t="shared" ca="1" si="16"/>
        <v>0.4836229308899897</v>
      </c>
      <c r="N74" s="151">
        <f t="shared" ca="1" si="20"/>
        <v>26.926762802592666</v>
      </c>
      <c r="O74" s="152">
        <f t="shared" ca="1" si="17"/>
        <v>28.343960844834388</v>
      </c>
    </row>
    <row r="75" spans="2:15">
      <c r="B75" s="48">
        <f t="shared" si="21"/>
        <v>11</v>
      </c>
      <c r="C75" s="151">
        <f t="shared" ca="1" si="10"/>
        <v>4.0112243349661858</v>
      </c>
      <c r="D75" s="151">
        <f t="shared" si="11"/>
        <v>0</v>
      </c>
      <c r="E75" s="151">
        <f t="shared" si="12"/>
        <v>0</v>
      </c>
      <c r="F75" s="151">
        <f t="shared" ca="1" si="18"/>
        <v>8.0638706370338902</v>
      </c>
      <c r="G75" s="151">
        <f t="shared" ca="1" si="19"/>
        <v>12.075094972000077</v>
      </c>
      <c r="H75" s="152">
        <f t="shared" ca="1" si="13"/>
        <v>12.71062628631587</v>
      </c>
      <c r="J75" s="48">
        <f t="shared" si="22"/>
        <v>11</v>
      </c>
      <c r="K75" s="151">
        <f t="shared" ca="1" si="14"/>
        <v>4.0112243349661858</v>
      </c>
      <c r="L75" s="151">
        <f t="shared" ca="1" si="15"/>
        <v>8.0638706370338902</v>
      </c>
      <c r="M75" s="151">
        <f t="shared" si="16"/>
        <v>0</v>
      </c>
      <c r="N75" s="151">
        <f t="shared" ca="1" si="20"/>
        <v>12.075094972000077</v>
      </c>
      <c r="O75" s="152">
        <f t="shared" ca="1" si="17"/>
        <v>12.71062628631587</v>
      </c>
    </row>
    <row r="76" spans="2:15">
      <c r="B76" s="48">
        <f t="shared" si="21"/>
        <v>12</v>
      </c>
      <c r="C76" s="151">
        <f t="shared" ca="1" si="10"/>
        <v>4.0112243349661858</v>
      </c>
      <c r="D76" s="151">
        <f t="shared" si="11"/>
        <v>0</v>
      </c>
      <c r="E76" s="151">
        <f t="shared" si="12"/>
        <v>0</v>
      </c>
      <c r="F76" s="151">
        <f t="shared" ca="1" si="18"/>
        <v>8.0638706370338902</v>
      </c>
      <c r="G76" s="151">
        <f t="shared" ca="1" si="19"/>
        <v>12.075094972000077</v>
      </c>
      <c r="H76" s="152">
        <f t="shared" ca="1" si="13"/>
        <v>12.71062628631587</v>
      </c>
      <c r="J76" s="48">
        <f t="shared" si="22"/>
        <v>12</v>
      </c>
      <c r="K76" s="151">
        <f t="shared" ca="1" si="14"/>
        <v>4.0112243349661858</v>
      </c>
      <c r="L76" s="151">
        <f t="shared" ca="1" si="15"/>
        <v>8.0638706370338902</v>
      </c>
      <c r="M76" s="151">
        <f t="shared" si="16"/>
        <v>0</v>
      </c>
      <c r="N76" s="151">
        <f t="shared" ca="1" si="20"/>
        <v>12.075094972000077</v>
      </c>
      <c r="O76" s="152">
        <f t="shared" ca="1" si="17"/>
        <v>12.71062628631587</v>
      </c>
    </row>
    <row r="77" spans="2:15">
      <c r="B77" s="48">
        <f t="shared" si="21"/>
        <v>13</v>
      </c>
      <c r="C77" s="151">
        <f t="shared" ca="1" si="10"/>
        <v>4.0112243349661858</v>
      </c>
      <c r="D77" s="151">
        <f t="shared" si="11"/>
        <v>0</v>
      </c>
      <c r="E77" s="151">
        <f t="shared" si="12"/>
        <v>0</v>
      </c>
      <c r="F77" s="151">
        <f t="shared" ca="1" si="18"/>
        <v>8.0638706370338902</v>
      </c>
      <c r="G77" s="151">
        <f t="shared" ca="1" si="19"/>
        <v>12.075094972000077</v>
      </c>
      <c r="H77" s="152">
        <f t="shared" ca="1" si="13"/>
        <v>12.71062628631587</v>
      </c>
      <c r="J77" s="48">
        <f t="shared" si="22"/>
        <v>13</v>
      </c>
      <c r="K77" s="151">
        <f t="shared" ca="1" si="14"/>
        <v>4.0112243349661858</v>
      </c>
      <c r="L77" s="151">
        <f t="shared" ca="1" si="15"/>
        <v>8.0638706370338902</v>
      </c>
      <c r="M77" s="151">
        <f t="shared" si="16"/>
        <v>0</v>
      </c>
      <c r="N77" s="151">
        <f t="shared" ca="1" si="20"/>
        <v>12.075094972000077</v>
      </c>
      <c r="O77" s="152">
        <f t="shared" ca="1" si="17"/>
        <v>12.71062628631587</v>
      </c>
    </row>
    <row r="78" spans="2:15">
      <c r="B78" s="48">
        <f t="shared" si="21"/>
        <v>14</v>
      </c>
      <c r="C78" s="151">
        <f t="shared" ca="1" si="10"/>
        <v>4.0112243349661858</v>
      </c>
      <c r="D78" s="151">
        <f t="shared" si="11"/>
        <v>0</v>
      </c>
      <c r="E78" s="151">
        <f t="shared" si="12"/>
        <v>0</v>
      </c>
      <c r="F78" s="151">
        <f t="shared" ca="1" si="18"/>
        <v>8.0638706370338902</v>
      </c>
      <c r="G78" s="151">
        <f t="shared" ca="1" si="19"/>
        <v>12.075094972000077</v>
      </c>
      <c r="H78" s="152">
        <f t="shared" ca="1" si="13"/>
        <v>12.71062628631587</v>
      </c>
      <c r="J78" s="48">
        <f t="shared" si="22"/>
        <v>14</v>
      </c>
      <c r="K78" s="151">
        <f t="shared" ca="1" si="14"/>
        <v>4.0112243349661858</v>
      </c>
      <c r="L78" s="151">
        <f t="shared" ca="1" si="15"/>
        <v>8.0638706370338902</v>
      </c>
      <c r="M78" s="151">
        <f t="shared" si="16"/>
        <v>0</v>
      </c>
      <c r="N78" s="151">
        <f t="shared" ca="1" si="20"/>
        <v>12.075094972000077</v>
      </c>
      <c r="O78" s="152">
        <f t="shared" ca="1" si="17"/>
        <v>12.71062628631587</v>
      </c>
    </row>
    <row r="79" spans="2:15">
      <c r="B79" s="48">
        <f t="shared" si="21"/>
        <v>15</v>
      </c>
      <c r="C79" s="151">
        <f t="shared" ca="1" si="10"/>
        <v>4.0112243349661858</v>
      </c>
      <c r="D79" s="151">
        <f t="shared" si="11"/>
        <v>0</v>
      </c>
      <c r="E79" s="151">
        <f t="shared" si="12"/>
        <v>0</v>
      </c>
      <c r="F79" s="151">
        <f t="shared" ca="1" si="18"/>
        <v>8.0638706370338902</v>
      </c>
      <c r="G79" s="151">
        <f t="shared" ca="1" si="19"/>
        <v>12.075094972000077</v>
      </c>
      <c r="H79" s="152">
        <f t="shared" ca="1" si="13"/>
        <v>12.71062628631587</v>
      </c>
      <c r="J79" s="48">
        <f t="shared" si="22"/>
        <v>15</v>
      </c>
      <c r="K79" s="151">
        <f t="shared" ca="1" si="14"/>
        <v>4.0112243349661858</v>
      </c>
      <c r="L79" s="151">
        <f t="shared" ca="1" si="15"/>
        <v>8.0638706370338902</v>
      </c>
      <c r="M79" s="151">
        <f t="shared" si="16"/>
        <v>0</v>
      </c>
      <c r="N79" s="151">
        <f t="shared" ca="1" si="20"/>
        <v>12.075094972000077</v>
      </c>
      <c r="O79" s="152">
        <f t="shared" ca="1" si="17"/>
        <v>12.71062628631587</v>
      </c>
    </row>
    <row r="80" spans="2:15">
      <c r="B80" s="48">
        <f t="shared" si="21"/>
        <v>16</v>
      </c>
      <c r="C80" s="151">
        <f t="shared" ca="1" si="10"/>
        <v>4.0112243349661858</v>
      </c>
      <c r="D80" s="151">
        <f t="shared" si="11"/>
        <v>0</v>
      </c>
      <c r="E80" s="151">
        <f t="shared" si="12"/>
        <v>0</v>
      </c>
      <c r="F80" s="151">
        <f t="shared" ca="1" si="18"/>
        <v>8.0638706370338902</v>
      </c>
      <c r="G80" s="151">
        <f t="shared" ca="1" si="19"/>
        <v>12.075094972000077</v>
      </c>
      <c r="H80" s="152">
        <f t="shared" ca="1" si="13"/>
        <v>12.71062628631587</v>
      </c>
      <c r="J80" s="48">
        <f t="shared" si="22"/>
        <v>16</v>
      </c>
      <c r="K80" s="151">
        <f t="shared" ca="1" si="14"/>
        <v>4.0112243349661858</v>
      </c>
      <c r="L80" s="151">
        <f t="shared" ca="1" si="15"/>
        <v>8.0638706370338902</v>
      </c>
      <c r="M80" s="151">
        <f t="shared" si="16"/>
        <v>0</v>
      </c>
      <c r="N80" s="151">
        <f t="shared" ca="1" si="20"/>
        <v>12.075094972000077</v>
      </c>
      <c r="O80" s="152">
        <f t="shared" ca="1" si="17"/>
        <v>12.71062628631587</v>
      </c>
    </row>
    <row r="81" spans="2:15">
      <c r="B81" s="48">
        <f t="shared" si="21"/>
        <v>17</v>
      </c>
      <c r="C81" s="151">
        <f t="shared" ca="1" si="10"/>
        <v>4.0112243349661858</v>
      </c>
      <c r="D81" s="151">
        <f t="shared" si="11"/>
        <v>0</v>
      </c>
      <c r="E81" s="151">
        <f t="shared" si="12"/>
        <v>0</v>
      </c>
      <c r="F81" s="151">
        <f t="shared" ca="1" si="18"/>
        <v>8.0638706370338902</v>
      </c>
      <c r="G81" s="151">
        <f t="shared" ca="1" si="19"/>
        <v>12.075094972000077</v>
      </c>
      <c r="H81" s="152">
        <f t="shared" ca="1" si="13"/>
        <v>12.71062628631587</v>
      </c>
      <c r="J81" s="48">
        <f t="shared" si="22"/>
        <v>17</v>
      </c>
      <c r="K81" s="151">
        <f t="shared" ca="1" si="14"/>
        <v>4.0112243349661858</v>
      </c>
      <c r="L81" s="151">
        <f t="shared" ca="1" si="15"/>
        <v>8.0638706370338902</v>
      </c>
      <c r="M81" s="151">
        <f t="shared" si="16"/>
        <v>0</v>
      </c>
      <c r="N81" s="151">
        <f t="shared" ca="1" si="20"/>
        <v>12.075094972000077</v>
      </c>
      <c r="O81" s="152">
        <f t="shared" ca="1" si="17"/>
        <v>12.71062628631587</v>
      </c>
    </row>
    <row r="82" spans="2:15">
      <c r="B82" s="48">
        <f t="shared" si="21"/>
        <v>18</v>
      </c>
      <c r="C82" s="151">
        <f t="shared" ca="1" si="10"/>
        <v>4.0112243349661858</v>
      </c>
      <c r="D82" s="151">
        <f t="shared" si="11"/>
        <v>0</v>
      </c>
      <c r="E82" s="151">
        <f t="shared" si="12"/>
        <v>0</v>
      </c>
      <c r="F82" s="151">
        <f t="shared" ca="1" si="18"/>
        <v>8.0638706370338902</v>
      </c>
      <c r="G82" s="151">
        <f t="shared" ca="1" si="19"/>
        <v>12.075094972000077</v>
      </c>
      <c r="H82" s="152">
        <f t="shared" ca="1" si="13"/>
        <v>12.71062628631587</v>
      </c>
      <c r="J82" s="48">
        <f t="shared" si="22"/>
        <v>18</v>
      </c>
      <c r="K82" s="151">
        <f t="shared" ca="1" si="14"/>
        <v>4.0112243349661858</v>
      </c>
      <c r="L82" s="151">
        <f t="shared" ca="1" si="15"/>
        <v>8.0638706370338902</v>
      </c>
      <c r="M82" s="151">
        <f t="shared" si="16"/>
        <v>0</v>
      </c>
      <c r="N82" s="151">
        <f t="shared" ca="1" si="20"/>
        <v>12.075094972000077</v>
      </c>
      <c r="O82" s="152">
        <f t="shared" ca="1" si="17"/>
        <v>12.71062628631587</v>
      </c>
    </row>
    <row r="83" spans="2:15">
      <c r="B83" s="48">
        <f t="shared" si="21"/>
        <v>19</v>
      </c>
      <c r="C83" s="151">
        <f t="shared" ca="1" si="10"/>
        <v>4.0112243349661858</v>
      </c>
      <c r="D83" s="151">
        <f t="shared" si="11"/>
        <v>0</v>
      </c>
      <c r="E83" s="151">
        <f t="shared" si="12"/>
        <v>0</v>
      </c>
      <c r="F83" s="151">
        <f t="shared" ca="1" si="18"/>
        <v>8.0638706370338902</v>
      </c>
      <c r="G83" s="151">
        <f t="shared" ca="1" si="19"/>
        <v>12.075094972000077</v>
      </c>
      <c r="H83" s="152">
        <f t="shared" ca="1" si="13"/>
        <v>12.71062628631587</v>
      </c>
      <c r="J83" s="48">
        <f t="shared" si="22"/>
        <v>19</v>
      </c>
      <c r="K83" s="151">
        <f t="shared" ca="1" si="14"/>
        <v>4.0112243349661858</v>
      </c>
      <c r="L83" s="151">
        <f t="shared" ca="1" si="15"/>
        <v>8.0638706370338902</v>
      </c>
      <c r="M83" s="151">
        <f t="shared" si="16"/>
        <v>0</v>
      </c>
      <c r="N83" s="151">
        <f t="shared" ca="1" si="20"/>
        <v>12.075094972000077</v>
      </c>
      <c r="O83" s="152">
        <f t="shared" ca="1" si="17"/>
        <v>12.71062628631587</v>
      </c>
    </row>
    <row r="84" spans="2:15">
      <c r="B84" s="48">
        <f t="shared" si="21"/>
        <v>20</v>
      </c>
      <c r="C84" s="151">
        <f t="shared" ca="1" si="10"/>
        <v>4.0112243349661858</v>
      </c>
      <c r="D84" s="151">
        <f t="shared" si="11"/>
        <v>0</v>
      </c>
      <c r="E84" s="151">
        <f t="shared" si="12"/>
        <v>0</v>
      </c>
      <c r="F84" s="151">
        <f t="shared" ca="1" si="18"/>
        <v>8.0638706370338902</v>
      </c>
      <c r="G84" s="151">
        <f t="shared" ca="1" si="19"/>
        <v>12.075094972000077</v>
      </c>
      <c r="H84" s="152">
        <f t="shared" ca="1" si="13"/>
        <v>12.71062628631587</v>
      </c>
      <c r="J84" s="48">
        <f t="shared" si="22"/>
        <v>20</v>
      </c>
      <c r="K84" s="151">
        <f t="shared" ca="1" si="14"/>
        <v>4.0112243349661858</v>
      </c>
      <c r="L84" s="151">
        <f t="shared" ca="1" si="15"/>
        <v>8.0638706370338902</v>
      </c>
      <c r="M84" s="151">
        <f t="shared" si="16"/>
        <v>0</v>
      </c>
      <c r="N84" s="151">
        <f t="shared" ca="1" si="20"/>
        <v>12.075094972000077</v>
      </c>
      <c r="O84" s="152">
        <f t="shared" ca="1" si="17"/>
        <v>12.71062628631587</v>
      </c>
    </row>
    <row r="85" spans="2:15">
      <c r="B85" s="48">
        <f t="shared" si="21"/>
        <v>21</v>
      </c>
      <c r="C85" s="151">
        <f t="shared" ca="1" si="10"/>
        <v>4.0112243349661858</v>
      </c>
      <c r="D85" s="151">
        <f t="shared" si="11"/>
        <v>0</v>
      </c>
      <c r="E85" s="151">
        <f t="shared" si="12"/>
        <v>0</v>
      </c>
      <c r="F85" s="151">
        <f t="shared" ca="1" si="18"/>
        <v>8.0638706370338902</v>
      </c>
      <c r="G85" s="151">
        <f t="shared" ca="1" si="19"/>
        <v>12.075094972000077</v>
      </c>
      <c r="H85" s="152">
        <f t="shared" ca="1" si="13"/>
        <v>12.71062628631587</v>
      </c>
      <c r="J85" s="48">
        <f t="shared" si="22"/>
        <v>21</v>
      </c>
      <c r="K85" s="151">
        <f t="shared" ca="1" si="14"/>
        <v>4.0112243349661858</v>
      </c>
      <c r="L85" s="151">
        <f t="shared" ca="1" si="15"/>
        <v>8.0638706370338902</v>
      </c>
      <c r="M85" s="151">
        <f t="shared" si="16"/>
        <v>0</v>
      </c>
      <c r="N85" s="151">
        <f t="shared" ca="1" si="20"/>
        <v>12.075094972000077</v>
      </c>
      <c r="O85" s="152">
        <f t="shared" ca="1" si="17"/>
        <v>12.71062628631587</v>
      </c>
    </row>
    <row r="86" spans="2:15">
      <c r="B86" s="48">
        <f t="shared" si="21"/>
        <v>22</v>
      </c>
      <c r="C86" s="151">
        <f t="shared" ca="1" si="10"/>
        <v>4.0112243349661858</v>
      </c>
      <c r="D86" s="151">
        <f t="shared" si="11"/>
        <v>0</v>
      </c>
      <c r="E86" s="151">
        <f t="shared" si="12"/>
        <v>0</v>
      </c>
      <c r="F86" s="151">
        <f t="shared" ca="1" si="18"/>
        <v>8.0638706370338902</v>
      </c>
      <c r="G86" s="151">
        <f t="shared" ca="1" si="19"/>
        <v>12.075094972000077</v>
      </c>
      <c r="H86" s="152">
        <f t="shared" ca="1" si="13"/>
        <v>12.71062628631587</v>
      </c>
      <c r="J86" s="48">
        <f t="shared" si="22"/>
        <v>22</v>
      </c>
      <c r="K86" s="151">
        <f t="shared" ca="1" si="14"/>
        <v>4.0112243349661858</v>
      </c>
      <c r="L86" s="151">
        <f t="shared" ca="1" si="15"/>
        <v>8.0638706370338902</v>
      </c>
      <c r="M86" s="151">
        <f t="shared" si="16"/>
        <v>0</v>
      </c>
      <c r="N86" s="151">
        <f t="shared" ca="1" si="20"/>
        <v>12.075094972000077</v>
      </c>
      <c r="O86" s="152">
        <f t="shared" ca="1" si="17"/>
        <v>12.71062628631587</v>
      </c>
    </row>
    <row r="87" spans="2:15">
      <c r="B87" s="48">
        <f t="shared" si="21"/>
        <v>23</v>
      </c>
      <c r="C87" s="151">
        <f t="shared" ca="1" si="10"/>
        <v>4.0112243349661858</v>
      </c>
      <c r="D87" s="151">
        <f t="shared" si="11"/>
        <v>0</v>
      </c>
      <c r="E87" s="151">
        <f t="shared" si="12"/>
        <v>0</v>
      </c>
      <c r="F87" s="151">
        <f t="shared" ca="1" si="18"/>
        <v>8.0638706370338902</v>
      </c>
      <c r="G87" s="151">
        <f t="shared" ca="1" si="19"/>
        <v>12.075094972000077</v>
      </c>
      <c r="H87" s="152">
        <f t="shared" ca="1" si="13"/>
        <v>12.71062628631587</v>
      </c>
      <c r="J87" s="48">
        <f t="shared" si="22"/>
        <v>23</v>
      </c>
      <c r="K87" s="151">
        <f t="shared" ca="1" si="14"/>
        <v>4.0112243349661858</v>
      </c>
      <c r="L87" s="151">
        <f t="shared" ca="1" si="15"/>
        <v>8.0638706370338902</v>
      </c>
      <c r="M87" s="151">
        <f t="shared" si="16"/>
        <v>0</v>
      </c>
      <c r="N87" s="151">
        <f t="shared" ca="1" si="20"/>
        <v>12.075094972000077</v>
      </c>
      <c r="O87" s="152">
        <f t="shared" ca="1" si="17"/>
        <v>12.71062628631587</v>
      </c>
    </row>
    <row r="88" spans="2:15">
      <c r="B88" s="48">
        <f t="shared" si="21"/>
        <v>24</v>
      </c>
      <c r="C88" s="151">
        <f t="shared" ca="1" si="10"/>
        <v>4.0112243349661858</v>
      </c>
      <c r="D88" s="151">
        <f t="shared" si="11"/>
        <v>0</v>
      </c>
      <c r="E88" s="151">
        <f t="shared" si="12"/>
        <v>0</v>
      </c>
      <c r="F88" s="151">
        <f t="shared" ca="1" si="18"/>
        <v>8.0638706370338902</v>
      </c>
      <c r="G88" s="151">
        <f t="shared" ca="1" si="19"/>
        <v>12.075094972000077</v>
      </c>
      <c r="H88" s="152">
        <f t="shared" ca="1" si="13"/>
        <v>12.71062628631587</v>
      </c>
      <c r="J88" s="48">
        <f t="shared" si="22"/>
        <v>24</v>
      </c>
      <c r="K88" s="151">
        <f t="shared" ca="1" si="14"/>
        <v>4.0112243349661858</v>
      </c>
      <c r="L88" s="151">
        <f t="shared" ca="1" si="15"/>
        <v>8.0638706370338902</v>
      </c>
      <c r="M88" s="151">
        <f t="shared" si="16"/>
        <v>0</v>
      </c>
      <c r="N88" s="151">
        <f t="shared" ca="1" si="20"/>
        <v>12.075094972000077</v>
      </c>
      <c r="O88" s="152">
        <f t="shared" ca="1" si="17"/>
        <v>12.71062628631587</v>
      </c>
    </row>
    <row r="89" spans="2:15">
      <c r="B89" s="48">
        <f t="shared" si="21"/>
        <v>25</v>
      </c>
      <c r="C89" s="151">
        <f t="shared" ca="1" si="10"/>
        <v>4.0112243349661858</v>
      </c>
      <c r="D89" s="151">
        <f t="shared" si="11"/>
        <v>0</v>
      </c>
      <c r="E89" s="151">
        <f t="shared" si="12"/>
        <v>0</v>
      </c>
      <c r="F89" s="151">
        <f t="shared" ca="1" si="18"/>
        <v>8.0638706370338902</v>
      </c>
      <c r="G89" s="151">
        <f t="shared" ca="1" si="19"/>
        <v>12.075094972000077</v>
      </c>
      <c r="H89" s="152">
        <f t="shared" ca="1" si="13"/>
        <v>12.71062628631587</v>
      </c>
      <c r="J89" s="48">
        <v>25</v>
      </c>
      <c r="K89" s="151">
        <f t="shared" ca="1" si="14"/>
        <v>4.0112243349661858</v>
      </c>
      <c r="L89" s="151">
        <f t="shared" ca="1" si="15"/>
        <v>8.0638706370338902</v>
      </c>
      <c r="M89" s="151">
        <f t="shared" si="16"/>
        <v>0</v>
      </c>
      <c r="N89" s="151">
        <f t="shared" ca="1" si="20"/>
        <v>12.075094972000077</v>
      </c>
      <c r="O89" s="152">
        <f t="shared" ca="1" si="17"/>
        <v>12.71062628631587</v>
      </c>
    </row>
    <row r="90" spans="2:15">
      <c r="B90" s="50" t="s">
        <v>16</v>
      </c>
      <c r="C90" s="101"/>
      <c r="D90" s="101"/>
      <c r="E90" s="101"/>
      <c r="F90" s="101"/>
      <c r="G90" s="153">
        <f ca="1">-PMT(10%,25,NPV(10%,G65:G89))</f>
        <v>22.128710405383707</v>
      </c>
      <c r="H90" s="154">
        <f ca="1">-PMT(10%,25,NPV(10%,H65:H89))</f>
        <v>23.293379374088129</v>
      </c>
      <c r="J90" s="59" t="s">
        <v>16</v>
      </c>
      <c r="K90" s="162"/>
      <c r="L90" s="162"/>
      <c r="M90" s="162"/>
      <c r="N90" s="163">
        <f ca="1">-PMT(10%,25,NPV(10%,N65:N89))</f>
        <v>22.128710405383707</v>
      </c>
      <c r="O90" s="164">
        <f ca="1">-PMT(10%,25,NPV(10%,O65:O89))</f>
        <v>23.293379374088129</v>
      </c>
    </row>
    <row r="92" spans="2:15">
      <c r="F92" s="68">
        <f t="shared" ref="F92:F110" ca="1" si="23">D65+F65</f>
        <v>16.969630480259465</v>
      </c>
    </row>
    <row r="93" spans="2:15">
      <c r="F93" s="68">
        <f t="shared" ca="1" si="23"/>
        <v>17.455733092436134</v>
      </c>
    </row>
    <row r="94" spans="2:15">
      <c r="F94" s="68">
        <f t="shared" ca="1" si="23"/>
        <v>17.968368617438276</v>
      </c>
    </row>
    <row r="95" spans="2:15">
      <c r="F95" s="68">
        <f t="shared" ca="1" si="23"/>
        <v>18.508985299824502</v>
      </c>
      <c r="H95" s="88"/>
    </row>
    <row r="96" spans="2:15">
      <c r="F96" s="68">
        <f t="shared" ca="1" si="23"/>
        <v>19.079110433608513</v>
      </c>
    </row>
    <row r="97" spans="6:6">
      <c r="F97" s="68">
        <f t="shared" ca="1" si="23"/>
        <v>19.680354677011326</v>
      </c>
    </row>
    <row r="98" spans="6:6">
      <c r="F98" s="68">
        <f t="shared" ca="1" si="23"/>
        <v>20.314416602725274</v>
      </c>
    </row>
    <row r="99" spans="6:6">
      <c r="F99" s="68">
        <f t="shared" ca="1" si="23"/>
        <v>20.983087496544933</v>
      </c>
    </row>
    <row r="100" spans="6:6">
      <c r="F100" s="68">
        <f t="shared" ca="1" si="23"/>
        <v>21.688256417921391</v>
      </c>
    </row>
    <row r="101" spans="6:6">
      <c r="F101" s="68">
        <f t="shared" ca="1" si="23"/>
        <v>22.43191553673649</v>
      </c>
    </row>
    <row r="102" spans="6:6">
      <c r="F102" s="68">
        <f t="shared" ca="1" si="23"/>
        <v>8.0638706370338902</v>
      </c>
    </row>
    <row r="103" spans="6:6">
      <c r="F103" s="68">
        <f t="shared" ca="1" si="23"/>
        <v>8.0638706370338902</v>
      </c>
    </row>
    <row r="104" spans="6:6">
      <c r="F104" s="68">
        <f t="shared" ca="1" si="23"/>
        <v>8.0638706370338902</v>
      </c>
    </row>
    <row r="105" spans="6:6">
      <c r="F105" s="68">
        <f t="shared" ca="1" si="23"/>
        <v>8.0638706370338902</v>
      </c>
    </row>
    <row r="106" spans="6:6">
      <c r="F106" s="68">
        <f t="shared" ca="1" si="23"/>
        <v>8.0638706370338902</v>
      </c>
    </row>
    <row r="107" spans="6:6">
      <c r="F107" s="68">
        <f t="shared" ca="1" si="23"/>
        <v>8.0638706370338902</v>
      </c>
    </row>
    <row r="108" spans="6:6">
      <c r="F108" s="68">
        <f t="shared" ca="1" si="23"/>
        <v>8.0638706370338902</v>
      </c>
    </row>
    <row r="109" spans="6:6">
      <c r="F109" s="68">
        <f t="shared" ca="1" si="23"/>
        <v>8.0638706370338902</v>
      </c>
    </row>
    <row r="110" spans="6:6">
      <c r="F110" s="68">
        <f t="shared" ca="1" si="23"/>
        <v>8.0638706370338902</v>
      </c>
    </row>
    <row r="111" spans="6:6">
      <c r="F111" s="68">
        <f t="shared" ref="F111" ca="1" si="24">D89+F89</f>
        <v>8.0638706370338902</v>
      </c>
    </row>
  </sheetData>
  <pageMargins left="0.7" right="0.7" top="0.75" bottom="0.75" header="0.3" footer="0.3"/>
  <ignoredErrors>
    <ignoredError sqref="G20:H22 I20:I22 L23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45"/>
  <sheetViews>
    <sheetView showGridLines="0" workbookViewId="0">
      <selection activeCell="B44" sqref="B44:O45"/>
    </sheetView>
  </sheetViews>
  <sheetFormatPr baseColWidth="10" defaultRowHeight="15" x14ac:dyDescent="0"/>
  <cols>
    <col min="2" max="2" width="25.5" bestFit="1" customWidth="1"/>
    <col min="3" max="3" width="11.5" bestFit="1" customWidth="1"/>
    <col min="5" max="5" width="7.33203125" customWidth="1"/>
    <col min="6" max="6" width="11.5" bestFit="1" customWidth="1"/>
  </cols>
  <sheetData>
    <row r="3" spans="2:15" ht="16" thickBot="1">
      <c r="B3" s="104" t="s">
        <v>76</v>
      </c>
      <c r="C3" s="105"/>
      <c r="D3" s="105"/>
      <c r="E3" s="106">
        <v>0</v>
      </c>
      <c r="F3" s="106">
        <v>1</v>
      </c>
      <c r="G3" s="106">
        <v>2</v>
      </c>
      <c r="H3" s="106">
        <v>3</v>
      </c>
      <c r="I3" s="106">
        <v>4</v>
      </c>
      <c r="J3" s="106">
        <v>5</v>
      </c>
      <c r="K3" s="106">
        <v>6</v>
      </c>
      <c r="L3" s="106">
        <v>7</v>
      </c>
      <c r="M3" s="106">
        <v>8</v>
      </c>
      <c r="N3" s="106">
        <v>9</v>
      </c>
      <c r="O3" s="107">
        <v>10</v>
      </c>
    </row>
    <row r="4" spans="2:15">
      <c r="B4" s="108"/>
      <c r="C4" s="109"/>
      <c r="D4" s="109"/>
      <c r="E4" s="110">
        <v>0</v>
      </c>
      <c r="F4" s="110">
        <v>1</v>
      </c>
      <c r="G4" s="110">
        <v>2</v>
      </c>
      <c r="H4" s="110">
        <v>3</v>
      </c>
      <c r="I4" s="110">
        <v>4</v>
      </c>
      <c r="J4" s="110">
        <v>5</v>
      </c>
      <c r="K4" s="110">
        <v>6</v>
      </c>
      <c r="L4" s="110">
        <v>7</v>
      </c>
      <c r="M4" s="110">
        <v>8</v>
      </c>
      <c r="N4" s="110">
        <v>9</v>
      </c>
      <c r="O4" s="111"/>
    </row>
    <row r="5" spans="2:15">
      <c r="B5" s="112" t="s">
        <v>77</v>
      </c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113"/>
    </row>
    <row r="6" spans="2:15">
      <c r="B6" s="114"/>
      <c r="C6" s="92"/>
      <c r="D6" s="92"/>
      <c r="E6" s="93"/>
      <c r="F6" s="93"/>
      <c r="G6" s="93"/>
      <c r="H6" s="93"/>
      <c r="I6" s="93"/>
      <c r="J6" s="93"/>
      <c r="K6" s="93"/>
      <c r="L6" s="93"/>
      <c r="M6" s="93"/>
      <c r="N6" s="93"/>
      <c r="O6" s="115"/>
    </row>
    <row r="7" spans="2:15">
      <c r="B7" s="114" t="s">
        <v>78</v>
      </c>
      <c r="C7" s="92"/>
      <c r="D7" s="94">
        <f>SUM(F7:N7)</f>
        <v>1</v>
      </c>
      <c r="E7" s="95"/>
      <c r="F7" s="95">
        <v>0.25</v>
      </c>
      <c r="G7" s="95">
        <v>0</v>
      </c>
      <c r="H7" s="95">
        <v>0.4</v>
      </c>
      <c r="I7" s="95">
        <v>0</v>
      </c>
      <c r="J7" s="95">
        <v>0.25</v>
      </c>
      <c r="K7" s="95">
        <v>0</v>
      </c>
      <c r="L7" s="95">
        <v>0.05</v>
      </c>
      <c r="M7" s="95">
        <v>0</v>
      </c>
      <c r="N7" s="95">
        <v>0.05</v>
      </c>
      <c r="O7" s="116"/>
    </row>
    <row r="8" spans="2:15">
      <c r="B8" s="114" t="s">
        <v>79</v>
      </c>
      <c r="C8" s="92"/>
      <c r="D8" s="94">
        <f>SUM(F8:N8)</f>
        <v>1</v>
      </c>
      <c r="E8" s="95"/>
      <c r="F8" s="95">
        <v>0.25</v>
      </c>
      <c r="G8" s="95">
        <v>0</v>
      </c>
      <c r="H8" s="95">
        <v>0.4</v>
      </c>
      <c r="I8" s="95">
        <v>0</v>
      </c>
      <c r="J8" s="95">
        <v>0.25</v>
      </c>
      <c r="K8" s="95">
        <v>0</v>
      </c>
      <c r="L8" s="95">
        <v>0.05</v>
      </c>
      <c r="M8" s="95">
        <v>0</v>
      </c>
      <c r="N8" s="95">
        <v>0.05</v>
      </c>
      <c r="O8" s="116"/>
    </row>
    <row r="9" spans="2:15">
      <c r="B9" s="48" t="s">
        <v>35</v>
      </c>
      <c r="C9" s="92"/>
      <c r="D9" s="96"/>
      <c r="E9" s="95"/>
      <c r="F9" s="95">
        <v>1</v>
      </c>
      <c r="G9" s="95"/>
      <c r="H9" s="95"/>
      <c r="I9" s="95"/>
      <c r="J9" s="95"/>
      <c r="K9" s="95"/>
      <c r="L9" s="95"/>
      <c r="M9" s="95"/>
      <c r="N9" s="95"/>
      <c r="O9" s="116"/>
    </row>
    <row r="10" spans="2:15">
      <c r="B10" s="48" t="s">
        <v>74</v>
      </c>
      <c r="C10" s="92"/>
      <c r="D10" s="96"/>
      <c r="E10" s="95"/>
      <c r="F10" s="95">
        <v>0.2</v>
      </c>
      <c r="G10" s="95"/>
      <c r="H10" s="95">
        <v>0.5</v>
      </c>
      <c r="I10" s="95"/>
      <c r="J10" s="95">
        <v>0.3</v>
      </c>
      <c r="K10" s="95"/>
      <c r="L10" s="95"/>
      <c r="M10" s="95"/>
      <c r="N10" s="95"/>
      <c r="O10" s="116"/>
    </row>
    <row r="11" spans="2:15">
      <c r="B11" s="48" t="s">
        <v>39</v>
      </c>
      <c r="C11" s="92"/>
      <c r="D11" s="96"/>
      <c r="E11" s="95"/>
      <c r="F11" s="95">
        <v>0.5</v>
      </c>
      <c r="G11" s="95"/>
      <c r="H11" s="95">
        <v>0.5</v>
      </c>
      <c r="I11" s="95"/>
      <c r="J11" s="95"/>
      <c r="K11" s="95"/>
      <c r="L11" s="95"/>
      <c r="M11" s="95"/>
      <c r="N11" s="95"/>
      <c r="O11" s="116"/>
    </row>
    <row r="12" spans="2:15">
      <c r="B12" s="48" t="s">
        <v>40</v>
      </c>
      <c r="C12" s="92"/>
      <c r="D12" s="96"/>
      <c r="E12" s="95"/>
      <c r="F12" s="95">
        <v>0.75</v>
      </c>
      <c r="G12" s="95"/>
      <c r="H12" s="95">
        <v>0.25</v>
      </c>
      <c r="I12" s="95"/>
      <c r="J12" s="95"/>
      <c r="K12" s="95"/>
      <c r="L12" s="95"/>
      <c r="M12" s="95"/>
      <c r="N12" s="95"/>
      <c r="O12" s="116"/>
    </row>
    <row r="13" spans="2:15">
      <c r="B13" s="48" t="s">
        <v>41</v>
      </c>
      <c r="C13" s="92"/>
      <c r="D13" s="96"/>
      <c r="E13" s="95"/>
      <c r="F13" s="95">
        <v>1</v>
      </c>
      <c r="G13" s="95"/>
      <c r="H13" s="95"/>
      <c r="I13" s="95"/>
      <c r="J13" s="95"/>
      <c r="K13" s="95"/>
      <c r="L13" s="95"/>
      <c r="M13" s="95"/>
      <c r="N13" s="95"/>
      <c r="O13" s="116"/>
    </row>
    <row r="14" spans="2:15">
      <c r="B14" s="48" t="s">
        <v>43</v>
      </c>
      <c r="C14" s="92"/>
      <c r="D14" s="96"/>
      <c r="E14" s="95"/>
      <c r="F14" s="95">
        <v>0.85</v>
      </c>
      <c r="G14" s="95"/>
      <c r="H14" s="95">
        <v>0.05</v>
      </c>
      <c r="I14" s="95"/>
      <c r="J14" s="95">
        <v>0.05</v>
      </c>
      <c r="K14" s="95"/>
      <c r="L14" s="95">
        <v>0.05</v>
      </c>
      <c r="M14" s="95"/>
      <c r="N14" s="95"/>
      <c r="O14" s="116"/>
    </row>
    <row r="15" spans="2:15">
      <c r="B15" s="48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58"/>
    </row>
    <row r="16" spans="2:15">
      <c r="B16" s="48" t="s">
        <v>78</v>
      </c>
      <c r="C16" s="16">
        <f>D16*'Basic Solar FM 5 GIZ'!$I$3</f>
        <v>1800000</v>
      </c>
      <c r="D16" s="169">
        <v>0.9</v>
      </c>
      <c r="E16" s="100">
        <f>SUM(F16:N16)-C16</f>
        <v>0</v>
      </c>
      <c r="F16" s="16">
        <f>$C$16*F7</f>
        <v>450000</v>
      </c>
      <c r="G16" s="16">
        <f t="shared" ref="G16:N16" si="0">$C$16*G7</f>
        <v>0</v>
      </c>
      <c r="H16" s="16">
        <f t="shared" si="0"/>
        <v>720000</v>
      </c>
      <c r="I16" s="16">
        <f t="shared" si="0"/>
        <v>0</v>
      </c>
      <c r="J16" s="16">
        <f t="shared" si="0"/>
        <v>450000</v>
      </c>
      <c r="K16" s="16">
        <f t="shared" si="0"/>
        <v>0</v>
      </c>
      <c r="L16" s="16">
        <f t="shared" si="0"/>
        <v>90000</v>
      </c>
      <c r="M16" s="16">
        <f t="shared" si="0"/>
        <v>0</v>
      </c>
      <c r="N16" s="16">
        <f t="shared" si="0"/>
        <v>90000</v>
      </c>
      <c r="O16" s="58"/>
    </row>
    <row r="17" spans="2:15">
      <c r="B17" s="48" t="s">
        <v>79</v>
      </c>
      <c r="C17" s="16">
        <f>D17*'Basic Solar FM 5 GIZ'!$I$3</f>
        <v>200000</v>
      </c>
      <c r="D17" s="169">
        <v>0.1</v>
      </c>
      <c r="E17" s="100">
        <f t="shared" ref="E17:E23" si="1">SUM(F17:N17)-C17</f>
        <v>0</v>
      </c>
      <c r="F17" s="16">
        <f>$C$17*F8</f>
        <v>50000</v>
      </c>
      <c r="G17" s="16">
        <f t="shared" ref="G17:N17" si="2">$C$17*G8</f>
        <v>0</v>
      </c>
      <c r="H17" s="16">
        <f t="shared" si="2"/>
        <v>80000</v>
      </c>
      <c r="I17" s="16">
        <f t="shared" si="2"/>
        <v>0</v>
      </c>
      <c r="J17" s="16">
        <f t="shared" si="2"/>
        <v>50000</v>
      </c>
      <c r="K17" s="16">
        <f t="shared" si="2"/>
        <v>0</v>
      </c>
      <c r="L17" s="16">
        <f t="shared" si="2"/>
        <v>10000</v>
      </c>
      <c r="M17" s="16">
        <f t="shared" si="2"/>
        <v>0</v>
      </c>
      <c r="N17" s="16">
        <f t="shared" si="2"/>
        <v>10000</v>
      </c>
      <c r="O17" s="58"/>
    </row>
    <row r="18" spans="2:15">
      <c r="B18" s="48" t="s">
        <v>35</v>
      </c>
      <c r="C18" s="100">
        <f>'Basic Solar FM 5 GIZ'!I4</f>
        <v>24000</v>
      </c>
      <c r="D18" s="99"/>
      <c r="E18" s="100">
        <f t="shared" si="1"/>
        <v>0</v>
      </c>
      <c r="F18" s="16">
        <f>$C$18*F9</f>
        <v>24000</v>
      </c>
      <c r="G18" s="16">
        <f t="shared" ref="G18:N18" si="3">$C$18*G9</f>
        <v>0</v>
      </c>
      <c r="H18" s="16">
        <f t="shared" si="3"/>
        <v>0</v>
      </c>
      <c r="I18" s="16">
        <f t="shared" si="3"/>
        <v>0</v>
      </c>
      <c r="J18" s="16">
        <f t="shared" si="3"/>
        <v>0</v>
      </c>
      <c r="K18" s="16">
        <f t="shared" si="3"/>
        <v>0</v>
      </c>
      <c r="L18" s="16">
        <f t="shared" si="3"/>
        <v>0</v>
      </c>
      <c r="M18" s="16">
        <f t="shared" si="3"/>
        <v>0</v>
      </c>
      <c r="N18" s="16">
        <f t="shared" si="3"/>
        <v>0</v>
      </c>
      <c r="O18" s="58"/>
    </row>
    <row r="19" spans="2:15">
      <c r="B19" s="48" t="s">
        <v>74</v>
      </c>
      <c r="C19" s="100">
        <f>'Basic Solar FM 5 GIZ'!I5</f>
        <v>14399.999999999998</v>
      </c>
      <c r="D19" s="99"/>
      <c r="E19" s="100">
        <f t="shared" si="1"/>
        <v>0</v>
      </c>
      <c r="F19" s="16">
        <f>$C$19*F10</f>
        <v>2880</v>
      </c>
      <c r="G19" s="16">
        <f t="shared" ref="G19:N19" si="4">$C$19*G10</f>
        <v>0</v>
      </c>
      <c r="H19" s="16">
        <f t="shared" si="4"/>
        <v>7199.9999999999991</v>
      </c>
      <c r="I19" s="16">
        <f t="shared" si="4"/>
        <v>0</v>
      </c>
      <c r="J19" s="16">
        <f t="shared" si="4"/>
        <v>4319.9999999999991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si="4"/>
        <v>0</v>
      </c>
      <c r="O19" s="58"/>
    </row>
    <row r="20" spans="2:15">
      <c r="B20" s="48" t="s">
        <v>39</v>
      </c>
      <c r="C20" s="100">
        <f>'Basic Solar FM 5 GIZ'!I9</f>
        <v>150000</v>
      </c>
      <c r="D20" s="99"/>
      <c r="E20" s="100">
        <f t="shared" si="1"/>
        <v>0</v>
      </c>
      <c r="F20" s="16">
        <f>$C$20*F11</f>
        <v>75000</v>
      </c>
      <c r="G20" s="16">
        <f t="shared" ref="G20:N20" si="5">$C$20*G11</f>
        <v>0</v>
      </c>
      <c r="H20" s="16">
        <f t="shared" si="5"/>
        <v>75000</v>
      </c>
      <c r="I20" s="16">
        <f t="shared" si="5"/>
        <v>0</v>
      </c>
      <c r="J20" s="16">
        <f t="shared" si="5"/>
        <v>0</v>
      </c>
      <c r="K20" s="16">
        <f t="shared" si="5"/>
        <v>0</v>
      </c>
      <c r="L20" s="16">
        <f t="shared" si="5"/>
        <v>0</v>
      </c>
      <c r="M20" s="16">
        <f t="shared" si="5"/>
        <v>0</v>
      </c>
      <c r="N20" s="16">
        <f t="shared" si="5"/>
        <v>0</v>
      </c>
      <c r="O20" s="58"/>
    </row>
    <row r="21" spans="2:15">
      <c r="B21" s="48" t="s">
        <v>40</v>
      </c>
      <c r="C21" s="100">
        <f>'Basic Solar FM 5 GIZ'!I10</f>
        <v>60000</v>
      </c>
      <c r="D21" s="99"/>
      <c r="E21" s="100">
        <f t="shared" si="1"/>
        <v>0</v>
      </c>
      <c r="F21" s="16">
        <f>$C$21*F12</f>
        <v>45000</v>
      </c>
      <c r="G21" s="16">
        <f t="shared" ref="G21:N21" si="6">$C$21*G12</f>
        <v>0</v>
      </c>
      <c r="H21" s="16">
        <f t="shared" si="6"/>
        <v>15000</v>
      </c>
      <c r="I21" s="16">
        <f t="shared" si="6"/>
        <v>0</v>
      </c>
      <c r="J21" s="16">
        <f t="shared" si="6"/>
        <v>0</v>
      </c>
      <c r="K21" s="16">
        <f t="shared" si="6"/>
        <v>0</v>
      </c>
      <c r="L21" s="16">
        <f t="shared" si="6"/>
        <v>0</v>
      </c>
      <c r="M21" s="16">
        <f t="shared" si="6"/>
        <v>0</v>
      </c>
      <c r="N21" s="16">
        <f t="shared" si="6"/>
        <v>0</v>
      </c>
      <c r="O21" s="58"/>
    </row>
    <row r="22" spans="2:15">
      <c r="B22" s="48" t="s">
        <v>41</v>
      </c>
      <c r="C22" s="100">
        <f>'Basic Solar FM 5 GIZ'!I11</f>
        <v>27518.400000000001</v>
      </c>
      <c r="D22" s="99"/>
      <c r="E22" s="100">
        <f t="shared" si="1"/>
        <v>0</v>
      </c>
      <c r="F22" s="16">
        <f>$C$22*F13</f>
        <v>27518.400000000001</v>
      </c>
      <c r="G22" s="16">
        <f t="shared" ref="G22:N22" si="7">$C$22*G13</f>
        <v>0</v>
      </c>
      <c r="H22" s="16">
        <f t="shared" si="7"/>
        <v>0</v>
      </c>
      <c r="I22" s="16">
        <f t="shared" si="7"/>
        <v>0</v>
      </c>
      <c r="J22" s="16">
        <f t="shared" si="7"/>
        <v>0</v>
      </c>
      <c r="K22" s="16">
        <f t="shared" si="7"/>
        <v>0</v>
      </c>
      <c r="L22" s="16">
        <f t="shared" si="7"/>
        <v>0</v>
      </c>
      <c r="M22" s="16">
        <f t="shared" si="7"/>
        <v>0</v>
      </c>
      <c r="N22" s="16">
        <f t="shared" si="7"/>
        <v>0</v>
      </c>
      <c r="O22" s="58"/>
    </row>
    <row r="23" spans="2:15">
      <c r="B23" s="48" t="s">
        <v>43</v>
      </c>
      <c r="C23" s="100">
        <f ca="1">'Basic Solar FM 5 GIZ'!I13</f>
        <v>62788.439361635552</v>
      </c>
      <c r="D23" s="99"/>
      <c r="E23" s="100">
        <f t="shared" ca="1" si="1"/>
        <v>0</v>
      </c>
      <c r="F23" s="16">
        <f ca="1">$C$23*F14</f>
        <v>53370.173457390221</v>
      </c>
      <c r="G23" s="16">
        <f t="shared" ref="G23:N23" ca="1" si="8">$C$23*G14</f>
        <v>0</v>
      </c>
      <c r="H23" s="16">
        <f t="shared" ca="1" si="8"/>
        <v>3139.4219680817778</v>
      </c>
      <c r="I23" s="16">
        <f t="shared" ca="1" si="8"/>
        <v>0</v>
      </c>
      <c r="J23" s="16">
        <f t="shared" ca="1" si="8"/>
        <v>3139.4219680817778</v>
      </c>
      <c r="K23" s="16">
        <f t="shared" ca="1" si="8"/>
        <v>0</v>
      </c>
      <c r="L23" s="16">
        <f t="shared" ca="1" si="8"/>
        <v>3139.4219680817778</v>
      </c>
      <c r="M23" s="16">
        <f t="shared" ca="1" si="8"/>
        <v>0</v>
      </c>
      <c r="N23" s="16">
        <f t="shared" ca="1" si="8"/>
        <v>0</v>
      </c>
      <c r="O23" s="58"/>
    </row>
    <row r="24" spans="2:15">
      <c r="B24" s="117" t="s">
        <v>80</v>
      </c>
      <c r="C24" s="118">
        <f ca="1">SUM(C16:C23)</f>
        <v>2338706.8393616355</v>
      </c>
      <c r="D24" s="119"/>
      <c r="E24" s="119"/>
      <c r="F24" s="97">
        <f ca="1">SUM(F16:F23)</f>
        <v>727768.5734573903</v>
      </c>
      <c r="G24" s="97">
        <f t="shared" ref="G24:N24" ca="1" si="9">SUM(G16:G23)</f>
        <v>0</v>
      </c>
      <c r="H24" s="97">
        <f t="shared" ca="1" si="9"/>
        <v>900339.42196808173</v>
      </c>
      <c r="I24" s="97">
        <f t="shared" ca="1" si="9"/>
        <v>0</v>
      </c>
      <c r="J24" s="97">
        <f t="shared" ca="1" si="9"/>
        <v>507459.42196808179</v>
      </c>
      <c r="K24" s="97">
        <f t="shared" ca="1" si="9"/>
        <v>0</v>
      </c>
      <c r="L24" s="97">
        <f t="shared" ca="1" si="9"/>
        <v>103139.42196808178</v>
      </c>
      <c r="M24" s="97">
        <f t="shared" ca="1" si="9"/>
        <v>0</v>
      </c>
      <c r="N24" s="97">
        <f t="shared" ca="1" si="9"/>
        <v>100000</v>
      </c>
      <c r="O24" s="120"/>
    </row>
    <row r="25" spans="2:15">
      <c r="B25" s="4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58"/>
    </row>
    <row r="26" spans="2:15">
      <c r="B26" s="48" t="s">
        <v>42</v>
      </c>
      <c r="C26" s="100">
        <f ca="1">SUM(F26:O26)</f>
        <v>53233.707748290166</v>
      </c>
      <c r="D26" s="99"/>
      <c r="E26" s="16">
        <v>0</v>
      </c>
      <c r="F26" s="16">
        <v>0</v>
      </c>
      <c r="G26" s="16">
        <v>0</v>
      </c>
      <c r="H26" s="16">
        <v>0</v>
      </c>
      <c r="I26" s="100">
        <f ca="1">-H38</f>
        <v>10310.938444700219</v>
      </c>
      <c r="J26" s="100">
        <f t="shared" ref="J26:O26" si="10">-I38</f>
        <v>0</v>
      </c>
      <c r="K26" s="100">
        <f t="shared" si="10"/>
        <v>0</v>
      </c>
      <c r="L26" s="100">
        <f t="shared" ca="1" si="10"/>
        <v>19829.02481479671</v>
      </c>
      <c r="M26" s="100">
        <f t="shared" si="10"/>
        <v>0</v>
      </c>
      <c r="N26" s="100">
        <f t="shared" si="10"/>
        <v>0</v>
      </c>
      <c r="O26" s="121">
        <f t="shared" ca="1" si="10"/>
        <v>23093.744488793236</v>
      </c>
    </row>
    <row r="27" spans="2:15">
      <c r="B27" s="4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58"/>
    </row>
    <row r="28" spans="2:15">
      <c r="B28" s="117" t="s">
        <v>81</v>
      </c>
      <c r="C28" s="118">
        <f ca="1">SUM(F28:O28)</f>
        <v>2391940.5471099261</v>
      </c>
      <c r="D28" s="119"/>
      <c r="E28" s="119"/>
      <c r="F28" s="97">
        <f ca="1">F24+F26</f>
        <v>727768.5734573903</v>
      </c>
      <c r="G28" s="97">
        <f t="shared" ref="G28:O28" ca="1" si="11">G24+G26</f>
        <v>0</v>
      </c>
      <c r="H28" s="97">
        <f t="shared" ca="1" si="11"/>
        <v>900339.42196808173</v>
      </c>
      <c r="I28" s="97">
        <f t="shared" ca="1" si="11"/>
        <v>10310.938444700219</v>
      </c>
      <c r="J28" s="97">
        <f t="shared" ca="1" si="11"/>
        <v>507459.42196808179</v>
      </c>
      <c r="K28" s="97">
        <f t="shared" ca="1" si="11"/>
        <v>0</v>
      </c>
      <c r="L28" s="97">
        <f t="shared" ca="1" si="11"/>
        <v>122968.44678287848</v>
      </c>
      <c r="M28" s="97">
        <f t="shared" ca="1" si="11"/>
        <v>0</v>
      </c>
      <c r="N28" s="97">
        <f t="shared" ca="1" si="11"/>
        <v>100000</v>
      </c>
      <c r="O28" s="122">
        <f t="shared" ca="1" si="11"/>
        <v>23093.744488793236</v>
      </c>
    </row>
    <row r="29" spans="2:15">
      <c r="B29" s="4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58"/>
    </row>
    <row r="30" spans="2:15">
      <c r="B30" s="48" t="s">
        <v>3</v>
      </c>
      <c r="C30" s="123">
        <f>'Basic Solar FM 5 GIZ'!C5</f>
        <v>0.25</v>
      </c>
      <c r="D30" s="99"/>
      <c r="E30" s="99"/>
      <c r="F30" s="16">
        <f ca="1">F28*$C$30</f>
        <v>181942.14336434758</v>
      </c>
      <c r="G30" s="16">
        <f t="shared" ref="G30:O30" ca="1" si="12">G28*$C$30</f>
        <v>0</v>
      </c>
      <c r="H30" s="16">
        <f t="shared" ca="1" si="12"/>
        <v>225084.85549202043</v>
      </c>
      <c r="I30" s="16">
        <f t="shared" ca="1" si="12"/>
        <v>2577.7346111750549</v>
      </c>
      <c r="J30" s="16">
        <f t="shared" ca="1" si="12"/>
        <v>126864.85549202045</v>
      </c>
      <c r="K30" s="16">
        <f t="shared" ca="1" si="12"/>
        <v>0</v>
      </c>
      <c r="L30" s="16">
        <f t="shared" ca="1" si="12"/>
        <v>30742.111695719621</v>
      </c>
      <c r="M30" s="16">
        <f t="shared" ca="1" si="12"/>
        <v>0</v>
      </c>
      <c r="N30" s="16">
        <f t="shared" ca="1" si="12"/>
        <v>25000</v>
      </c>
      <c r="O30" s="17">
        <f t="shared" ca="1" si="12"/>
        <v>5773.436122198309</v>
      </c>
    </row>
    <row r="31" spans="2:15">
      <c r="B31" s="117" t="s">
        <v>82</v>
      </c>
      <c r="C31" s="25">
        <f ca="1">C28*C30</f>
        <v>597985.13677748153</v>
      </c>
      <c r="D31" s="119"/>
      <c r="E31" s="118"/>
      <c r="F31" s="97">
        <f ca="1">E31+F30</f>
        <v>181942.14336434758</v>
      </c>
      <c r="G31" s="97">
        <f t="shared" ref="G31:O31" ca="1" si="13">F31+G30</f>
        <v>181942.14336434758</v>
      </c>
      <c r="H31" s="97">
        <f t="shared" ca="1" si="13"/>
        <v>407026.99885636801</v>
      </c>
      <c r="I31" s="97">
        <f t="shared" ca="1" si="13"/>
        <v>409604.73346754309</v>
      </c>
      <c r="J31" s="97">
        <f t="shared" ca="1" si="13"/>
        <v>536469.58895956352</v>
      </c>
      <c r="K31" s="97">
        <f t="shared" ca="1" si="13"/>
        <v>536469.58895956352</v>
      </c>
      <c r="L31" s="97">
        <f t="shared" ca="1" si="13"/>
        <v>567211.70065528317</v>
      </c>
      <c r="M31" s="97">
        <f t="shared" ca="1" si="13"/>
        <v>567211.70065528317</v>
      </c>
      <c r="N31" s="97">
        <f t="shared" ca="1" si="13"/>
        <v>592211.70065528317</v>
      </c>
      <c r="O31" s="122">
        <f t="shared" ca="1" si="13"/>
        <v>597985.13677748153</v>
      </c>
    </row>
    <row r="32" spans="2:15">
      <c r="B32" s="48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58"/>
    </row>
    <row r="33" spans="2:15">
      <c r="B33" s="48" t="s">
        <v>17</v>
      </c>
      <c r="C33" s="123">
        <v>0.75</v>
      </c>
      <c r="D33" s="99"/>
      <c r="E33" s="99"/>
      <c r="F33" s="100">
        <f ca="1">F28-F30</f>
        <v>545826.43009304279</v>
      </c>
      <c r="G33" s="100">
        <f t="shared" ref="G33:O33" ca="1" si="14">G28-G30</f>
        <v>0</v>
      </c>
      <c r="H33" s="100">
        <f t="shared" ca="1" si="14"/>
        <v>675254.56647606124</v>
      </c>
      <c r="I33" s="100">
        <f t="shared" ca="1" si="14"/>
        <v>7733.2038335251646</v>
      </c>
      <c r="J33" s="100">
        <f t="shared" ca="1" si="14"/>
        <v>380594.56647606136</v>
      </c>
      <c r="K33" s="100">
        <f t="shared" ca="1" si="14"/>
        <v>0</v>
      </c>
      <c r="L33" s="100">
        <f t="shared" ca="1" si="14"/>
        <v>92226.335087158863</v>
      </c>
      <c r="M33" s="100">
        <f t="shared" ca="1" si="14"/>
        <v>0</v>
      </c>
      <c r="N33" s="100">
        <f t="shared" ca="1" si="14"/>
        <v>75000</v>
      </c>
      <c r="O33" s="121">
        <f t="shared" ca="1" si="14"/>
        <v>17320.308366594927</v>
      </c>
    </row>
    <row r="34" spans="2:15">
      <c r="B34" s="117" t="s">
        <v>82</v>
      </c>
      <c r="C34" s="118">
        <f ca="1">C28-C31</f>
        <v>1793955.4103324446</v>
      </c>
      <c r="D34" s="119"/>
      <c r="E34" s="119"/>
      <c r="F34" s="97">
        <f ca="1">E34+F33</f>
        <v>545826.43009304279</v>
      </c>
      <c r="G34" s="97">
        <f t="shared" ref="G34:O34" ca="1" si="15">F34+G33</f>
        <v>545826.43009304279</v>
      </c>
      <c r="H34" s="97">
        <f t="shared" ca="1" si="15"/>
        <v>1221080.996569104</v>
      </c>
      <c r="I34" s="97">
        <f t="shared" ca="1" si="15"/>
        <v>1228814.2004026291</v>
      </c>
      <c r="J34" s="97">
        <f t="shared" ca="1" si="15"/>
        <v>1609408.7668786906</v>
      </c>
      <c r="K34" s="97">
        <f t="shared" ca="1" si="15"/>
        <v>1609408.7668786906</v>
      </c>
      <c r="L34" s="97">
        <f t="shared" ca="1" si="15"/>
        <v>1701635.1019658495</v>
      </c>
      <c r="M34" s="97">
        <f t="shared" ca="1" si="15"/>
        <v>1701635.1019658495</v>
      </c>
      <c r="N34" s="97">
        <f t="shared" ca="1" si="15"/>
        <v>1776635.1019658495</v>
      </c>
      <c r="O34" s="122">
        <f t="shared" ca="1" si="15"/>
        <v>1793955.4103324444</v>
      </c>
    </row>
    <row r="35" spans="2:15">
      <c r="B35" s="48"/>
      <c r="C35" s="100"/>
      <c r="D35" s="99"/>
      <c r="E35" s="99"/>
      <c r="F35" s="100"/>
      <c r="G35" s="100"/>
      <c r="H35" s="100"/>
      <c r="I35" s="100"/>
      <c r="J35" s="100"/>
      <c r="K35" s="100"/>
      <c r="L35" s="100"/>
      <c r="M35" s="100"/>
      <c r="N35" s="100"/>
      <c r="O35" s="58"/>
    </row>
    <row r="36" spans="2:15">
      <c r="B36" s="12" t="s">
        <v>83</v>
      </c>
      <c r="C36" s="98"/>
      <c r="D36" s="13"/>
      <c r="E36" s="13"/>
      <c r="F36" s="98">
        <f>E39</f>
        <v>0</v>
      </c>
      <c r="G36" s="98">
        <f ca="1">F39</f>
        <v>2433.4761674981492</v>
      </c>
      <c r="H36" s="98">
        <f t="shared" ref="H36:N36" ca="1" si="16">G39</f>
        <v>4866.9523349962983</v>
      </c>
      <c r="I36" s="98">
        <f t="shared" ca="1" si="16"/>
        <v>0</v>
      </c>
      <c r="J36" s="98">
        <f t="shared" ca="1" si="16"/>
        <v>5478.463310128388</v>
      </c>
      <c r="K36" s="98">
        <f t="shared" ca="1" si="16"/>
        <v>12653.744062462549</v>
      </c>
      <c r="L36" s="98">
        <f t="shared" ca="1" si="16"/>
        <v>0</v>
      </c>
      <c r="M36" s="98">
        <f t="shared" ca="1" si="16"/>
        <v>7586.4564962644117</v>
      </c>
      <c r="N36" s="98">
        <f t="shared" ca="1" si="16"/>
        <v>15172.912992528823</v>
      </c>
      <c r="O36" s="14"/>
    </row>
    <row r="37" spans="2:15">
      <c r="B37" s="48" t="s">
        <v>42</v>
      </c>
      <c r="C37" s="99"/>
      <c r="D37" s="99"/>
      <c r="E37" s="99"/>
      <c r="F37" s="16">
        <f ca="1">F34*'Basic Solar FM 5 GIZ'!$C$11/12</f>
        <v>2433.4761674981492</v>
      </c>
      <c r="G37" s="16">
        <f ca="1">G34*'Basic Solar FM 5 GIZ'!$C$11/12</f>
        <v>2433.4761674981492</v>
      </c>
      <c r="H37" s="16">
        <f ca="1">H34*'Basic Solar FM 5 GIZ'!$C$11/12</f>
        <v>5443.986109703922</v>
      </c>
      <c r="I37" s="16">
        <f ca="1">I34*'Basic Solar FM 5 GIZ'!$C$11/12</f>
        <v>5478.463310128388</v>
      </c>
      <c r="J37" s="16">
        <f ca="1">J34*'Basic Solar FM 5 GIZ'!$C$11/12</f>
        <v>7175.2807523341617</v>
      </c>
      <c r="K37" s="16">
        <f ca="1">K34*'Basic Solar FM 5 GIZ'!$C$11/12</f>
        <v>7175.2807523341617</v>
      </c>
      <c r="L37" s="16">
        <f ca="1">L34*'Basic Solar FM 5 GIZ'!$C$11/12</f>
        <v>7586.4564962644117</v>
      </c>
      <c r="M37" s="16">
        <f ca="1">M34*'Basic Solar FM 5 GIZ'!$C$11/12</f>
        <v>7586.4564962644117</v>
      </c>
      <c r="N37" s="16">
        <f ca="1">N34*'Basic Solar FM 5 GIZ'!$C$11/12</f>
        <v>7920.8314962644117</v>
      </c>
      <c r="O37" s="58"/>
    </row>
    <row r="38" spans="2:15">
      <c r="B38" s="48" t="s">
        <v>84</v>
      </c>
      <c r="C38" s="100">
        <f ca="1">-SUM(F38:N38)</f>
        <v>53233.707748290166</v>
      </c>
      <c r="D38" s="99">
        <v>3</v>
      </c>
      <c r="E38" s="99"/>
      <c r="F38" s="16">
        <f>IF(F$3&gt;0,IF(OR(MOD(F$3,$D$38)=0,G3=0),-(F36+F37),0),0)</f>
        <v>0</v>
      </c>
      <c r="G38" s="16">
        <f t="shared" ref="G38:N38" si="17">IF(G$3&gt;0,IF(OR(MOD(G$3,$D$38)=0,H3=0),-(G36+G37),0),0)</f>
        <v>0</v>
      </c>
      <c r="H38" s="16">
        <f t="shared" ca="1" si="17"/>
        <v>-10310.938444700219</v>
      </c>
      <c r="I38" s="16">
        <f t="shared" si="17"/>
        <v>0</v>
      </c>
      <c r="J38" s="16">
        <f t="shared" si="17"/>
        <v>0</v>
      </c>
      <c r="K38" s="16">
        <f t="shared" ca="1" si="17"/>
        <v>-19829.02481479671</v>
      </c>
      <c r="L38" s="16">
        <f t="shared" si="17"/>
        <v>0</v>
      </c>
      <c r="M38" s="16">
        <f t="shared" si="17"/>
        <v>0</v>
      </c>
      <c r="N38" s="16">
        <f t="shared" ca="1" si="17"/>
        <v>-23093.744488793236</v>
      </c>
      <c r="O38" s="58"/>
    </row>
    <row r="39" spans="2:15">
      <c r="B39" s="50" t="s">
        <v>85</v>
      </c>
      <c r="C39" s="101"/>
      <c r="D39" s="101"/>
      <c r="E39" s="101"/>
      <c r="F39" s="102">
        <f ca="1">SUM(F36:F38)</f>
        <v>2433.4761674981492</v>
      </c>
      <c r="G39" s="102">
        <f t="shared" ref="G39:N39" ca="1" si="18">SUM(G36:G38)</f>
        <v>4866.9523349962983</v>
      </c>
      <c r="H39" s="102">
        <f t="shared" ca="1" si="18"/>
        <v>0</v>
      </c>
      <c r="I39" s="102">
        <f t="shared" ca="1" si="18"/>
        <v>5478.463310128388</v>
      </c>
      <c r="J39" s="102">
        <f t="shared" ca="1" si="18"/>
        <v>12653.744062462549</v>
      </c>
      <c r="K39" s="102">
        <f t="shared" ca="1" si="18"/>
        <v>0</v>
      </c>
      <c r="L39" s="102">
        <f t="shared" ca="1" si="18"/>
        <v>7586.4564962644117</v>
      </c>
      <c r="M39" s="102">
        <f t="shared" ca="1" si="18"/>
        <v>15172.912992528823</v>
      </c>
      <c r="N39" s="102">
        <f t="shared" ca="1" si="18"/>
        <v>0</v>
      </c>
      <c r="O39" s="103"/>
    </row>
    <row r="40" spans="2:15">
      <c r="B40" s="48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58"/>
    </row>
    <row r="41" spans="2:15">
      <c r="B41" s="48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58"/>
    </row>
    <row r="42" spans="2:15">
      <c r="B42" s="59" t="s">
        <v>2</v>
      </c>
      <c r="C42" s="124">
        <f ca="1">C31+C34</f>
        <v>2391940.5471099261</v>
      </c>
      <c r="D42" s="101"/>
      <c r="E42" s="102">
        <f ca="1">SUM(F42:O42)-C42</f>
        <v>0</v>
      </c>
      <c r="F42" s="124">
        <f ca="1">F30+F33</f>
        <v>727768.5734573903</v>
      </c>
      <c r="G42" s="124">
        <f t="shared" ref="G42:O42" ca="1" si="19">G30+G33</f>
        <v>0</v>
      </c>
      <c r="H42" s="124">
        <f t="shared" ca="1" si="19"/>
        <v>900339.42196808173</v>
      </c>
      <c r="I42" s="124">
        <f t="shared" ca="1" si="19"/>
        <v>10310.938444700219</v>
      </c>
      <c r="J42" s="124">
        <f t="shared" ca="1" si="19"/>
        <v>507459.42196808179</v>
      </c>
      <c r="K42" s="124">
        <f t="shared" ca="1" si="19"/>
        <v>0</v>
      </c>
      <c r="L42" s="124">
        <f t="shared" ca="1" si="19"/>
        <v>122968.44678287848</v>
      </c>
      <c r="M42" s="124">
        <f t="shared" ca="1" si="19"/>
        <v>0</v>
      </c>
      <c r="N42" s="124">
        <f t="shared" ca="1" si="19"/>
        <v>100000</v>
      </c>
      <c r="O42" s="126">
        <f t="shared" ca="1" si="19"/>
        <v>23093.744488793236</v>
      </c>
    </row>
    <row r="44" spans="2:15">
      <c r="B44" s="12" t="s">
        <v>17</v>
      </c>
      <c r="C44" s="13"/>
      <c r="D44" s="13"/>
      <c r="E44" s="13"/>
      <c r="F44" s="170">
        <f ca="1">F34/SUM(F31,F34)</f>
        <v>0.75000000000000011</v>
      </c>
      <c r="G44" s="170">
        <f t="shared" ref="G44:O44" ca="1" si="20">G34/SUM(G31,G34)</f>
        <v>0.75000000000000011</v>
      </c>
      <c r="H44" s="170">
        <f t="shared" ca="1" si="20"/>
        <v>0.75</v>
      </c>
      <c r="I44" s="170">
        <f t="shared" ca="1" si="20"/>
        <v>0.75</v>
      </c>
      <c r="J44" s="170">
        <f t="shared" ca="1" si="20"/>
        <v>0.75</v>
      </c>
      <c r="K44" s="170">
        <f t="shared" ca="1" si="20"/>
        <v>0.75</v>
      </c>
      <c r="L44" s="170">
        <f t="shared" ca="1" si="20"/>
        <v>0.75</v>
      </c>
      <c r="M44" s="170">
        <f t="shared" ca="1" si="20"/>
        <v>0.75</v>
      </c>
      <c r="N44" s="170">
        <f t="shared" ca="1" si="20"/>
        <v>0.75</v>
      </c>
      <c r="O44" s="171">
        <f t="shared" ca="1" si="20"/>
        <v>0.74999999999999989</v>
      </c>
    </row>
    <row r="45" spans="2:15">
      <c r="B45" s="50" t="s">
        <v>3</v>
      </c>
      <c r="C45" s="101"/>
      <c r="D45" s="101"/>
      <c r="E45" s="101"/>
      <c r="F45" s="172">
        <f ca="1">F31/SUM(F31,F34)</f>
        <v>0.25</v>
      </c>
      <c r="G45" s="172">
        <f t="shared" ref="G45:O45" ca="1" si="21">G31/SUM(G31,G34)</f>
        <v>0.25</v>
      </c>
      <c r="H45" s="172">
        <f t="shared" ca="1" si="21"/>
        <v>0.25</v>
      </c>
      <c r="I45" s="172">
        <f t="shared" ca="1" si="21"/>
        <v>0.25000000000000006</v>
      </c>
      <c r="J45" s="172">
        <f t="shared" ca="1" si="21"/>
        <v>0.25</v>
      </c>
      <c r="K45" s="172">
        <f t="shared" ca="1" si="21"/>
        <v>0.25</v>
      </c>
      <c r="L45" s="172">
        <f t="shared" ca="1" si="21"/>
        <v>0.25</v>
      </c>
      <c r="M45" s="172">
        <f t="shared" ca="1" si="21"/>
        <v>0.25</v>
      </c>
      <c r="N45" s="172">
        <f t="shared" ca="1" si="21"/>
        <v>0.25</v>
      </c>
      <c r="O45" s="173">
        <f t="shared" ca="1" si="21"/>
        <v>0.25</v>
      </c>
    </row>
  </sheetData>
  <conditionalFormatting sqref="D7:D8">
    <cfRule type="cellIs" dxfId="0" priority="1" stopIfTrue="1" operator="notEqual">
      <formula>1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Solar FM</vt:lpstr>
      <vt:lpstr>Basic Solar FM 2</vt:lpstr>
      <vt:lpstr>Basic Solar FM 3</vt:lpstr>
      <vt:lpstr>Basic Solar FM 4</vt:lpstr>
      <vt:lpstr>Sheet1</vt:lpstr>
      <vt:lpstr>Basic Solar FM 5 GIZ</vt:lpstr>
      <vt:lpstr>Drawdown</vt:lpstr>
    </vt:vector>
  </TitlesOfParts>
  <Company>Bridge Factor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Rumman Dar</dc:creator>
  <cp:lastModifiedBy>Ali Yasir Naqvi</cp:lastModifiedBy>
  <dcterms:created xsi:type="dcterms:W3CDTF">2011-07-30T12:17:14Z</dcterms:created>
  <dcterms:modified xsi:type="dcterms:W3CDTF">2012-12-11T06:17:43Z</dcterms:modified>
</cp:coreProperties>
</file>